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5"/>
  </bookViews>
  <sheets>
    <sheet name="AL" sheetId="1" r:id="rId1"/>
    <sheet name="CW" sheetId="2" r:id="rId2"/>
    <sheet name="CG" sheetId="3" r:id="rId3"/>
    <sheet name="S" sheetId="4" r:id="rId4"/>
    <sheet name="WR" sheetId="5" r:id="rId5"/>
    <sheet name="UP" sheetId="6" r:id="rId6"/>
    <sheet name="Total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<sst xmlns="http://schemas.openxmlformats.org/spreadsheetml/2006/main" count="218" uniqueCount="38">
  <si>
    <t>Description</t>
  </si>
  <si>
    <t>Band A Disabled</t>
  </si>
  <si>
    <t>Band A</t>
  </si>
  <si>
    <t>Band B</t>
  </si>
  <si>
    <t>Band C</t>
  </si>
  <si>
    <t>Band D</t>
  </si>
  <si>
    <t>Dwellings</t>
  </si>
  <si>
    <t>Exemptions</t>
  </si>
  <si>
    <t>Disabled Relief</t>
  </si>
  <si>
    <t>Chargeable Dwellings</t>
  </si>
  <si>
    <t>Discounts x 10%</t>
  </si>
  <si>
    <t>Discounts x 25%</t>
  </si>
  <si>
    <t>Discounts x 50%</t>
  </si>
  <si>
    <t>Discount Deduction</t>
  </si>
  <si>
    <t>Additions</t>
  </si>
  <si>
    <t>Reductions</t>
  </si>
  <si>
    <t>Total Adjustments</t>
  </si>
  <si>
    <t>Net Dwellings</t>
  </si>
  <si>
    <t>Band D Equivalents</t>
  </si>
  <si>
    <t>Band E</t>
  </si>
  <si>
    <t>Band F</t>
  </si>
  <si>
    <t>Band G</t>
  </si>
  <si>
    <t>Band H</t>
  </si>
  <si>
    <t>AREA</t>
  </si>
  <si>
    <t>ABBOTS LANGLEY</t>
  </si>
  <si>
    <t>TAX BASE CALCULATION</t>
  </si>
  <si>
    <t>Total Band D Equivalents</t>
  </si>
  <si>
    <t>Collection Rate</t>
  </si>
  <si>
    <t>Adjusted Band D</t>
  </si>
  <si>
    <t>Contribution in Lieu</t>
  </si>
  <si>
    <t>Tax Base</t>
  </si>
  <si>
    <t>CHORLEYWOOD</t>
  </si>
  <si>
    <t>CROXLEY GREEN</t>
  </si>
  <si>
    <t>UNPARISHED</t>
  </si>
  <si>
    <t>SARRATT</t>
  </si>
  <si>
    <t>WATFORD RURAL</t>
  </si>
  <si>
    <t>THREE RIVERS</t>
  </si>
  <si>
    <t>Total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</si>
</sst>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10" fontId="0" fillId="0" borderId="6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0">
      <selection activeCell="K10" sqref="K1:K16384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4" width="8.421875" style="0" bestFit="1" customWidth="1"/>
    <col min="5" max="6" width="9.00390625" style="0" bestFit="1" customWidth="1"/>
    <col min="7" max="10" width="9.28125" style="0" bestFit="1" customWidth="1"/>
    <col min="11" max="11" width="8.140625" style="0" hidden="1" customWidth="1"/>
  </cols>
  <sheetData>
    <row r="1" ht="13.5" thickBot="1"/>
    <row r="2" spans="1:10" s="10" customFormat="1" ht="36.75" customHeight="1" thickBot="1">
      <c r="A2" s="9" t="s">
        <v>23</v>
      </c>
      <c r="B2" s="25" t="s">
        <v>24</v>
      </c>
      <c r="C2" s="26"/>
      <c r="D2" s="26"/>
      <c r="E2" s="26"/>
      <c r="F2" s="26"/>
      <c r="G2" s="26"/>
      <c r="H2" s="26"/>
      <c r="I2" s="26"/>
      <c r="J2" s="27"/>
    </row>
    <row r="3" ht="13.5" thickBot="1"/>
    <row r="4" spans="1:10" ht="36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20</v>
      </c>
      <c r="I4" s="2" t="s">
        <v>21</v>
      </c>
      <c r="J4" s="2" t="s">
        <v>22</v>
      </c>
    </row>
    <row r="5" spans="1:11" ht="15" thickBot="1">
      <c r="A5" s="3" t="s">
        <v>6</v>
      </c>
      <c r="B5" s="6">
        <v>0</v>
      </c>
      <c r="C5" s="6">
        <f>319-2-1</f>
        <v>316</v>
      </c>
      <c r="D5" s="6">
        <f>245-0-1</f>
        <v>244</v>
      </c>
      <c r="E5" s="6">
        <f>1680-1-5</f>
        <v>1674</v>
      </c>
      <c r="F5" s="6">
        <f>2471-0-10</f>
        <v>2461</v>
      </c>
      <c r="G5" s="6">
        <f>1680-0-8</f>
        <v>1672</v>
      </c>
      <c r="H5" s="6">
        <f>1026-0-6</f>
        <v>1020</v>
      </c>
      <c r="I5" s="6">
        <f>588-0-4</f>
        <v>584</v>
      </c>
      <c r="J5" s="6">
        <f>15-1-0</f>
        <v>14</v>
      </c>
      <c r="K5" s="7">
        <f aca="true" t="shared" si="0" ref="K5:K16">SUM(B5:J5)</f>
        <v>7985</v>
      </c>
    </row>
    <row r="6" spans="1:11" ht="15" thickBot="1">
      <c r="A6" s="3" t="s">
        <v>7</v>
      </c>
      <c r="B6" s="6">
        <v>0</v>
      </c>
      <c r="C6" s="6">
        <v>15</v>
      </c>
      <c r="D6" s="6">
        <v>10</v>
      </c>
      <c r="E6" s="6">
        <v>46</v>
      </c>
      <c r="F6" s="6">
        <v>35</v>
      </c>
      <c r="G6" s="6">
        <v>23</v>
      </c>
      <c r="H6" s="6">
        <v>20</v>
      </c>
      <c r="I6" s="6">
        <v>5</v>
      </c>
      <c r="J6" s="6">
        <v>0</v>
      </c>
      <c r="K6" s="7">
        <f t="shared" si="0"/>
        <v>154</v>
      </c>
    </row>
    <row r="7" spans="1:11" ht="15" thickBot="1">
      <c r="A7" s="3" t="s">
        <v>8</v>
      </c>
      <c r="B7" s="6">
        <v>1</v>
      </c>
      <c r="C7" s="6">
        <v>1</v>
      </c>
      <c r="D7" s="6">
        <v>5</v>
      </c>
      <c r="E7" s="6">
        <v>10</v>
      </c>
      <c r="F7" s="6">
        <v>8</v>
      </c>
      <c r="G7" s="6">
        <v>6</v>
      </c>
      <c r="H7" s="6">
        <v>4</v>
      </c>
      <c r="I7" s="6">
        <v>0</v>
      </c>
      <c r="J7" s="6">
        <v>0</v>
      </c>
      <c r="K7" s="7">
        <f t="shared" si="0"/>
        <v>35</v>
      </c>
    </row>
    <row r="8" spans="1:11" ht="30.75" thickBot="1">
      <c r="A8" s="5" t="s">
        <v>9</v>
      </c>
      <c r="B8" s="6">
        <f>SUM(B5:B7)</f>
        <v>1</v>
      </c>
      <c r="C8" s="6">
        <f>+C5-C6+C7</f>
        <v>302</v>
      </c>
      <c r="D8" s="6">
        <f aca="true" t="shared" si="1" ref="D8:J8">+D5-D6+D7</f>
        <v>239</v>
      </c>
      <c r="E8" s="6">
        <f t="shared" si="1"/>
        <v>1638</v>
      </c>
      <c r="F8" s="6">
        <f t="shared" si="1"/>
        <v>2434</v>
      </c>
      <c r="G8" s="6">
        <f t="shared" si="1"/>
        <v>1655</v>
      </c>
      <c r="H8" s="6">
        <f t="shared" si="1"/>
        <v>1004</v>
      </c>
      <c r="I8" s="6">
        <f t="shared" si="1"/>
        <v>579</v>
      </c>
      <c r="J8" s="6">
        <f t="shared" si="1"/>
        <v>14</v>
      </c>
      <c r="K8" s="7">
        <f t="shared" si="0"/>
        <v>7866</v>
      </c>
    </row>
    <row r="9" spans="1:11" ht="15" thickBot="1">
      <c r="A9" s="3" t="s">
        <v>10</v>
      </c>
      <c r="B9" s="6">
        <v>0</v>
      </c>
      <c r="C9" s="6">
        <v>2</v>
      </c>
      <c r="D9" s="6">
        <v>4</v>
      </c>
      <c r="E9" s="6">
        <v>16</v>
      </c>
      <c r="F9" s="6">
        <v>6</v>
      </c>
      <c r="G9" s="6">
        <v>6</v>
      </c>
      <c r="H9" s="6">
        <v>1</v>
      </c>
      <c r="I9" s="6">
        <v>3</v>
      </c>
      <c r="J9" s="6">
        <v>0</v>
      </c>
      <c r="K9" s="7">
        <f t="shared" si="0"/>
        <v>38</v>
      </c>
    </row>
    <row r="10" spans="1:11" ht="15" thickBot="1">
      <c r="A10" s="3" t="s">
        <v>11</v>
      </c>
      <c r="B10" s="6">
        <f>1+0</f>
        <v>1</v>
      </c>
      <c r="C10" s="6">
        <f>199+0</f>
        <v>199</v>
      </c>
      <c r="D10" s="6">
        <v>151</v>
      </c>
      <c r="E10" s="6">
        <f>864+8</f>
        <v>872</v>
      </c>
      <c r="F10" s="6">
        <f>860+11</f>
        <v>871</v>
      </c>
      <c r="G10" s="6">
        <f>381+13</f>
        <v>394</v>
      </c>
      <c r="H10" s="6">
        <f>157+6</f>
        <v>163</v>
      </c>
      <c r="I10" s="6">
        <f>69+4</f>
        <v>73</v>
      </c>
      <c r="J10" s="6">
        <f>0+0</f>
        <v>0</v>
      </c>
      <c r="K10" s="7">
        <f t="shared" si="0"/>
        <v>2724</v>
      </c>
    </row>
    <row r="11" spans="1:11" ht="15" thickBot="1">
      <c r="A11" s="3" t="s">
        <v>12</v>
      </c>
      <c r="B11" s="6">
        <v>0</v>
      </c>
      <c r="C11" s="6">
        <v>6</v>
      </c>
      <c r="D11" s="6">
        <v>0</v>
      </c>
      <c r="E11" s="6">
        <v>2</v>
      </c>
      <c r="F11" s="6">
        <v>1</v>
      </c>
      <c r="G11" s="6">
        <v>3</v>
      </c>
      <c r="H11" s="6">
        <v>1</v>
      </c>
      <c r="I11" s="6">
        <v>6</v>
      </c>
      <c r="J11" s="6">
        <v>1</v>
      </c>
      <c r="K11" s="7">
        <f t="shared" si="0"/>
        <v>20</v>
      </c>
    </row>
    <row r="12" spans="1:11" ht="30.75" thickBot="1">
      <c r="A12" s="5" t="s">
        <v>13</v>
      </c>
      <c r="B12" s="6">
        <f>(B9*0.1)+(B10*0.25)+(B11*0.5)</f>
        <v>0.25</v>
      </c>
      <c r="C12" s="6">
        <f aca="true" t="shared" si="2" ref="C12:J12">(C9*0.1)+(C10*0.25)+(C11*0.5)</f>
        <v>52.95</v>
      </c>
      <c r="D12" s="6">
        <f t="shared" si="2"/>
        <v>38.15</v>
      </c>
      <c r="E12" s="6">
        <f t="shared" si="2"/>
        <v>220.6</v>
      </c>
      <c r="F12" s="6">
        <f t="shared" si="2"/>
        <v>218.85</v>
      </c>
      <c r="G12" s="6">
        <f t="shared" si="2"/>
        <v>100.6</v>
      </c>
      <c r="H12" s="6">
        <f t="shared" si="2"/>
        <v>41.35</v>
      </c>
      <c r="I12" s="6">
        <f t="shared" si="2"/>
        <v>21.55</v>
      </c>
      <c r="J12" s="6">
        <f t="shared" si="2"/>
        <v>0.5</v>
      </c>
      <c r="K12" s="7">
        <f t="shared" si="0"/>
        <v>694.8</v>
      </c>
    </row>
    <row r="13" spans="1:12" ht="15" thickBot="1">
      <c r="A13" s="3" t="s">
        <v>14</v>
      </c>
      <c r="B13" s="6">
        <v>0</v>
      </c>
      <c r="C13" s="6">
        <v>0</v>
      </c>
      <c r="D13" s="6">
        <v>7.25</v>
      </c>
      <c r="E13" s="6">
        <v>10.5</v>
      </c>
      <c r="F13" s="6">
        <v>22.5</v>
      </c>
      <c r="G13" s="6">
        <v>11.65</v>
      </c>
      <c r="H13" s="6">
        <v>10.65</v>
      </c>
      <c r="I13" s="6">
        <v>1.25</v>
      </c>
      <c r="J13" s="6">
        <v>0</v>
      </c>
      <c r="K13" s="7">
        <f t="shared" si="0"/>
        <v>63.8</v>
      </c>
      <c r="L13" s="7"/>
    </row>
    <row r="14" spans="1:11" ht="15" thickBot="1">
      <c r="A14" s="3" t="s">
        <v>15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f t="shared" si="0"/>
        <v>0</v>
      </c>
    </row>
    <row r="15" spans="1:11" ht="30.75" thickBot="1">
      <c r="A15" s="5" t="s">
        <v>16</v>
      </c>
      <c r="B15" s="6">
        <f>+B13-B14</f>
        <v>0</v>
      </c>
      <c r="C15" s="6">
        <f aca="true" t="shared" si="3" ref="C15:J15">+C13-C14</f>
        <v>0</v>
      </c>
      <c r="D15" s="6">
        <f t="shared" si="3"/>
        <v>7.25</v>
      </c>
      <c r="E15" s="6">
        <f t="shared" si="3"/>
        <v>10.5</v>
      </c>
      <c r="F15" s="6">
        <f t="shared" si="3"/>
        <v>22.5</v>
      </c>
      <c r="G15" s="6">
        <f t="shared" si="3"/>
        <v>11.65</v>
      </c>
      <c r="H15" s="6">
        <f t="shared" si="3"/>
        <v>10.65</v>
      </c>
      <c r="I15" s="6">
        <f t="shared" si="3"/>
        <v>1.25</v>
      </c>
      <c r="J15" s="6">
        <f t="shared" si="3"/>
        <v>0</v>
      </c>
      <c r="K15" s="7">
        <f t="shared" si="0"/>
        <v>63.8</v>
      </c>
    </row>
    <row r="16" spans="1:11" ht="15" thickBot="1">
      <c r="A16" s="3" t="s">
        <v>17</v>
      </c>
      <c r="B16" s="6">
        <f>+B8-B12+B15</f>
        <v>0.75</v>
      </c>
      <c r="C16" s="6">
        <f aca="true" t="shared" si="4" ref="C16:J16">+C8-C12+C15</f>
        <v>249.05</v>
      </c>
      <c r="D16" s="6">
        <f t="shared" si="4"/>
        <v>208.1</v>
      </c>
      <c r="E16" s="6">
        <f t="shared" si="4"/>
        <v>1427.9</v>
      </c>
      <c r="F16" s="6">
        <f t="shared" si="4"/>
        <v>2237.65</v>
      </c>
      <c r="G16" s="6">
        <f t="shared" si="4"/>
        <v>1566.0500000000002</v>
      </c>
      <c r="H16" s="6">
        <f t="shared" si="4"/>
        <v>973.3</v>
      </c>
      <c r="I16" s="6">
        <f t="shared" si="4"/>
        <v>558.7</v>
      </c>
      <c r="J16" s="6">
        <f t="shared" si="4"/>
        <v>13.5</v>
      </c>
      <c r="K16" s="7">
        <f t="shared" si="0"/>
        <v>7235.000000000001</v>
      </c>
    </row>
    <row r="17" spans="1:11" ht="30.75" thickBot="1">
      <c r="A17" s="5" t="s">
        <v>18</v>
      </c>
      <c r="B17" s="6">
        <f>ROUND(B16/9*5,2)</f>
        <v>0.42</v>
      </c>
      <c r="C17" s="6">
        <f>ROUND(C16/9*6,2)</f>
        <v>166.03</v>
      </c>
      <c r="D17" s="6">
        <f>ROUND(D16/9*7,2)</f>
        <v>161.86</v>
      </c>
      <c r="E17" s="6">
        <f>ROUND(E16/9*8,2)</f>
        <v>1269.24</v>
      </c>
      <c r="F17" s="6">
        <f>ROUND(F16,2)</f>
        <v>2237.65</v>
      </c>
      <c r="G17" s="6">
        <f>ROUND(G16/9*11,2)</f>
        <v>1914.06</v>
      </c>
      <c r="H17" s="6">
        <f>ROUND(H16/9*13,2)</f>
        <v>1405.88</v>
      </c>
      <c r="I17" s="6">
        <f>ROUND(I16/9*15,2)</f>
        <v>931.17</v>
      </c>
      <c r="J17" s="6">
        <f>ROUND(J16/9*18,2)</f>
        <v>27</v>
      </c>
      <c r="K17" s="7">
        <f>SUM(B17:J17)</f>
        <v>8113.31</v>
      </c>
    </row>
    <row r="19" ht="13.5" thickBot="1"/>
    <row r="20" spans="3:8" ht="18" customHeight="1" thickBot="1">
      <c r="C20" s="28" t="s">
        <v>25</v>
      </c>
      <c r="D20" s="29"/>
      <c r="E20" s="29"/>
      <c r="F20" s="29"/>
      <c r="G20" s="29"/>
      <c r="H20" s="30"/>
    </row>
    <row r="21" spans="3:8" ht="17.25" customHeight="1">
      <c r="C21" s="31" t="s">
        <v>26</v>
      </c>
      <c r="D21" s="32"/>
      <c r="E21" s="32"/>
      <c r="F21" s="33">
        <f>+K17</f>
        <v>8113.31</v>
      </c>
      <c r="G21" s="34"/>
      <c r="H21" s="35"/>
    </row>
    <row r="22" spans="3:8" ht="17.25" customHeight="1">
      <c r="C22" s="21" t="s">
        <v>27</v>
      </c>
      <c r="D22" s="22"/>
      <c r="E22" s="22"/>
      <c r="F22" s="13">
        <v>0.995</v>
      </c>
      <c r="G22" s="13"/>
      <c r="H22" s="14"/>
    </row>
    <row r="23" spans="3:8" ht="17.25" customHeight="1">
      <c r="C23" s="21" t="s">
        <v>28</v>
      </c>
      <c r="D23" s="22"/>
      <c r="E23" s="22"/>
      <c r="F23" s="15">
        <f>ROUND(F21*F22,2)</f>
        <v>8072.74</v>
      </c>
      <c r="G23" s="16"/>
      <c r="H23" s="17"/>
    </row>
    <row r="24" spans="3:8" ht="17.25" customHeight="1">
      <c r="C24" s="21" t="s">
        <v>29</v>
      </c>
      <c r="D24" s="22"/>
      <c r="E24" s="22"/>
      <c r="F24" s="15">
        <v>0</v>
      </c>
      <c r="G24" s="16"/>
      <c r="H24" s="17"/>
    </row>
    <row r="25" spans="3:8" ht="17.25" customHeight="1" thickBot="1">
      <c r="C25" s="23" t="s">
        <v>30</v>
      </c>
      <c r="D25" s="24"/>
      <c r="E25" s="24"/>
      <c r="F25" s="18">
        <f>SUM(F23:H24)</f>
        <v>8072.74</v>
      </c>
      <c r="G25" s="19"/>
      <c r="H25" s="20"/>
    </row>
  </sheetData>
  <mergeCells count="12">
    <mergeCell ref="B2:J2"/>
    <mergeCell ref="C20:H20"/>
    <mergeCell ref="C21:E21"/>
    <mergeCell ref="F21:H21"/>
    <mergeCell ref="C22:E22"/>
    <mergeCell ref="C23:E23"/>
    <mergeCell ref="C24:E24"/>
    <mergeCell ref="C25:E25"/>
    <mergeCell ref="F22:H22"/>
    <mergeCell ref="F23:H23"/>
    <mergeCell ref="F24:H24"/>
    <mergeCell ref="F25:H25"/>
  </mergeCells>
  <printOptions/>
  <pageMargins left="1.9291338582677167" right="0.7480314960629921" top="0.984251968503937" bottom="0.3937007874015748" header="0.5118110236220472" footer="0.5118110236220472"/>
  <pageSetup horizontalDpi="600" verticalDpi="600" orientation="landscape" paperSize="9" r:id="rId1"/>
  <headerFooter alignWithMargins="0">
    <oddHeader>&amp;RAPPENDIX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8">
      <selection activeCell="K8" sqref="K1:K16384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6" width="8.28125" style="0" bestFit="1" customWidth="1"/>
    <col min="10" max="10" width="8.28125" style="0" bestFit="1" customWidth="1"/>
    <col min="11" max="11" width="8.140625" style="0" hidden="1" customWidth="1"/>
  </cols>
  <sheetData>
    <row r="1" ht="13.5" thickBot="1"/>
    <row r="2" spans="1:10" s="10" customFormat="1" ht="36.75" customHeight="1" thickBot="1">
      <c r="A2" s="9" t="s">
        <v>23</v>
      </c>
      <c r="B2" s="25" t="s">
        <v>31</v>
      </c>
      <c r="C2" s="26"/>
      <c r="D2" s="26"/>
      <c r="E2" s="26"/>
      <c r="F2" s="26"/>
      <c r="G2" s="26"/>
      <c r="H2" s="26"/>
      <c r="I2" s="26"/>
      <c r="J2" s="27"/>
    </row>
    <row r="3" ht="13.5" thickBot="1"/>
    <row r="4" spans="1:10" ht="36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20</v>
      </c>
      <c r="I4" s="2" t="s">
        <v>21</v>
      </c>
      <c r="J4" s="2" t="s">
        <v>22</v>
      </c>
    </row>
    <row r="5" spans="1:11" ht="15" thickBot="1">
      <c r="A5" s="3" t="s">
        <v>6</v>
      </c>
      <c r="B5" s="6">
        <v>0</v>
      </c>
      <c r="C5" s="6">
        <v>13</v>
      </c>
      <c r="D5" s="6">
        <v>23</v>
      </c>
      <c r="E5" s="6">
        <v>207</v>
      </c>
      <c r="F5" s="6">
        <v>445</v>
      </c>
      <c r="G5" s="6">
        <v>372</v>
      </c>
      <c r="H5" s="6">
        <v>692</v>
      </c>
      <c r="I5" s="6">
        <v>2030</v>
      </c>
      <c r="J5" s="6">
        <v>478</v>
      </c>
      <c r="K5" s="7">
        <f aca="true" t="shared" si="0" ref="K5:K16">SUM(B5:J5)</f>
        <v>4260</v>
      </c>
    </row>
    <row r="6" spans="1:11" ht="15" thickBot="1">
      <c r="A6" s="3" t="s">
        <v>7</v>
      </c>
      <c r="B6" s="6">
        <v>0</v>
      </c>
      <c r="C6" s="6">
        <v>4</v>
      </c>
      <c r="D6" s="6">
        <v>1</v>
      </c>
      <c r="E6" s="6">
        <v>4</v>
      </c>
      <c r="F6" s="6">
        <v>14</v>
      </c>
      <c r="G6" s="6">
        <v>13</v>
      </c>
      <c r="H6" s="6">
        <v>12</v>
      </c>
      <c r="I6" s="6">
        <v>33</v>
      </c>
      <c r="J6" s="6">
        <v>12</v>
      </c>
      <c r="K6" s="7">
        <f t="shared" si="0"/>
        <v>93</v>
      </c>
    </row>
    <row r="7" spans="1:11" ht="15" thickBot="1">
      <c r="A7" s="3" t="s">
        <v>8</v>
      </c>
      <c r="B7" s="6">
        <v>0</v>
      </c>
      <c r="C7" s="6">
        <v>0</v>
      </c>
      <c r="D7" s="6">
        <v>2</v>
      </c>
      <c r="E7" s="6">
        <v>4</v>
      </c>
      <c r="F7" s="6">
        <v>1</v>
      </c>
      <c r="G7" s="6">
        <v>6</v>
      </c>
      <c r="H7" s="6">
        <v>11</v>
      </c>
      <c r="I7" s="6">
        <v>5</v>
      </c>
      <c r="J7" s="6">
        <v>0</v>
      </c>
      <c r="K7" s="7">
        <f t="shared" si="0"/>
        <v>29</v>
      </c>
    </row>
    <row r="8" spans="1:11" ht="30.75" thickBot="1">
      <c r="A8" s="5" t="s">
        <v>9</v>
      </c>
      <c r="B8" s="6">
        <f>SUM(B5:B7)</f>
        <v>0</v>
      </c>
      <c r="C8" s="6">
        <f>+C5-C6+C7</f>
        <v>9</v>
      </c>
      <c r="D8" s="6">
        <f aca="true" t="shared" si="1" ref="D8:J8">+D5-D6+D7</f>
        <v>24</v>
      </c>
      <c r="E8" s="6">
        <f t="shared" si="1"/>
        <v>207</v>
      </c>
      <c r="F8" s="6">
        <f t="shared" si="1"/>
        <v>432</v>
      </c>
      <c r="G8" s="6">
        <f t="shared" si="1"/>
        <v>365</v>
      </c>
      <c r="H8" s="6">
        <f t="shared" si="1"/>
        <v>691</v>
      </c>
      <c r="I8" s="6">
        <f t="shared" si="1"/>
        <v>2002</v>
      </c>
      <c r="J8" s="6">
        <f t="shared" si="1"/>
        <v>466</v>
      </c>
      <c r="K8" s="7">
        <f t="shared" si="0"/>
        <v>4196</v>
      </c>
    </row>
    <row r="9" spans="1:11" ht="15" thickBot="1">
      <c r="A9" s="3" t="s">
        <v>10</v>
      </c>
      <c r="B9" s="6">
        <v>0</v>
      </c>
      <c r="C9" s="6">
        <v>0</v>
      </c>
      <c r="D9" s="6">
        <v>2</v>
      </c>
      <c r="E9" s="6">
        <v>0</v>
      </c>
      <c r="F9" s="6">
        <v>5</v>
      </c>
      <c r="G9" s="6">
        <v>4</v>
      </c>
      <c r="H9" s="6">
        <v>1</v>
      </c>
      <c r="I9" s="6">
        <v>8</v>
      </c>
      <c r="J9" s="6">
        <v>2</v>
      </c>
      <c r="K9" s="7">
        <f t="shared" si="0"/>
        <v>22</v>
      </c>
    </row>
    <row r="10" spans="1:11" ht="15" thickBot="1">
      <c r="A10" s="3" t="s">
        <v>11</v>
      </c>
      <c r="B10" s="6">
        <v>0</v>
      </c>
      <c r="C10" s="6">
        <v>3</v>
      </c>
      <c r="D10" s="6">
        <v>11</v>
      </c>
      <c r="E10" s="6">
        <v>91</v>
      </c>
      <c r="F10" s="6">
        <v>200</v>
      </c>
      <c r="G10" s="6">
        <v>168</v>
      </c>
      <c r="H10" s="6">
        <v>208</v>
      </c>
      <c r="I10" s="6">
        <v>294</v>
      </c>
      <c r="J10" s="6">
        <v>41</v>
      </c>
      <c r="K10" s="7">
        <f t="shared" si="0"/>
        <v>1016</v>
      </c>
    </row>
    <row r="11" spans="1:11" ht="15" thickBot="1">
      <c r="A11" s="3" t="s">
        <v>12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2</v>
      </c>
      <c r="I11" s="6">
        <v>3</v>
      </c>
      <c r="J11" s="6">
        <v>1</v>
      </c>
      <c r="K11" s="7">
        <f t="shared" si="0"/>
        <v>7</v>
      </c>
    </row>
    <row r="12" spans="1:11" ht="30.75" thickBot="1">
      <c r="A12" s="5" t="s">
        <v>13</v>
      </c>
      <c r="B12" s="6">
        <f>(B9*0.1)+(B10*0.25)+(B11*0.5)</f>
        <v>0</v>
      </c>
      <c r="C12" s="6">
        <f aca="true" t="shared" si="2" ref="C12:J12">(C9*0.1)+(C10*0.25)+(C11*0.5)</f>
        <v>0.75</v>
      </c>
      <c r="D12" s="6">
        <f t="shared" si="2"/>
        <v>2.95</v>
      </c>
      <c r="E12" s="6">
        <f t="shared" si="2"/>
        <v>23.25</v>
      </c>
      <c r="F12" s="6">
        <f t="shared" si="2"/>
        <v>50.5</v>
      </c>
      <c r="G12" s="6">
        <f t="shared" si="2"/>
        <v>42.4</v>
      </c>
      <c r="H12" s="6">
        <f t="shared" si="2"/>
        <v>53.1</v>
      </c>
      <c r="I12" s="6">
        <f t="shared" si="2"/>
        <v>75.8</v>
      </c>
      <c r="J12" s="6">
        <f t="shared" si="2"/>
        <v>10.95</v>
      </c>
      <c r="K12" s="7">
        <f t="shared" si="0"/>
        <v>259.7</v>
      </c>
    </row>
    <row r="13" spans="1:12" ht="15" thickBot="1">
      <c r="A13" s="3" t="s">
        <v>14</v>
      </c>
      <c r="B13" s="6">
        <v>0</v>
      </c>
      <c r="C13" s="6">
        <v>0</v>
      </c>
      <c r="D13" s="6">
        <v>0</v>
      </c>
      <c r="E13" s="6">
        <v>0</v>
      </c>
      <c r="F13" s="6">
        <v>5.33</v>
      </c>
      <c r="G13" s="6">
        <v>2.65</v>
      </c>
      <c r="H13" s="6">
        <v>0.92</v>
      </c>
      <c r="I13" s="6">
        <v>1.73</v>
      </c>
      <c r="J13" s="6">
        <v>6.5</v>
      </c>
      <c r="K13" s="7">
        <f t="shared" si="0"/>
        <v>17.130000000000003</v>
      </c>
      <c r="L13" s="7"/>
    </row>
    <row r="14" spans="1:11" ht="15" thickBot="1">
      <c r="A14" s="3" t="s">
        <v>15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f t="shared" si="0"/>
        <v>0</v>
      </c>
    </row>
    <row r="15" spans="1:11" ht="30.75" thickBot="1">
      <c r="A15" s="5" t="s">
        <v>16</v>
      </c>
      <c r="B15" s="6">
        <f>+B13-B14</f>
        <v>0</v>
      </c>
      <c r="C15" s="6">
        <f aca="true" t="shared" si="3" ref="C15:J15">+C13-C14</f>
        <v>0</v>
      </c>
      <c r="D15" s="6">
        <f t="shared" si="3"/>
        <v>0</v>
      </c>
      <c r="E15" s="6">
        <f t="shared" si="3"/>
        <v>0</v>
      </c>
      <c r="F15" s="6">
        <f t="shared" si="3"/>
        <v>5.33</v>
      </c>
      <c r="G15" s="6">
        <f t="shared" si="3"/>
        <v>2.65</v>
      </c>
      <c r="H15" s="6">
        <f t="shared" si="3"/>
        <v>0.92</v>
      </c>
      <c r="I15" s="6">
        <f t="shared" si="3"/>
        <v>1.73</v>
      </c>
      <c r="J15" s="6">
        <f t="shared" si="3"/>
        <v>6.5</v>
      </c>
      <c r="K15" s="7">
        <f t="shared" si="0"/>
        <v>17.130000000000003</v>
      </c>
    </row>
    <row r="16" spans="1:11" ht="15" thickBot="1">
      <c r="A16" s="3" t="s">
        <v>17</v>
      </c>
      <c r="B16" s="6">
        <f>+B8-B12+B15</f>
        <v>0</v>
      </c>
      <c r="C16" s="6">
        <f aca="true" t="shared" si="4" ref="C16:J16">+C8-C12+C15</f>
        <v>8.25</v>
      </c>
      <c r="D16" s="6">
        <f t="shared" si="4"/>
        <v>21.05</v>
      </c>
      <c r="E16" s="6">
        <f t="shared" si="4"/>
        <v>183.75</v>
      </c>
      <c r="F16" s="6">
        <f t="shared" si="4"/>
        <v>386.83</v>
      </c>
      <c r="G16" s="6">
        <f t="shared" si="4"/>
        <v>325.25</v>
      </c>
      <c r="H16" s="6">
        <f t="shared" si="4"/>
        <v>638.8199999999999</v>
      </c>
      <c r="I16" s="6">
        <f t="shared" si="4"/>
        <v>1927.93</v>
      </c>
      <c r="J16" s="6">
        <f t="shared" si="4"/>
        <v>461.55</v>
      </c>
      <c r="K16" s="7">
        <f t="shared" si="0"/>
        <v>3953.4300000000003</v>
      </c>
    </row>
    <row r="17" spans="1:11" ht="30.75" thickBot="1">
      <c r="A17" s="5" t="s">
        <v>18</v>
      </c>
      <c r="B17" s="6">
        <f>ROUND(B16/9*5,2)</f>
        <v>0</v>
      </c>
      <c r="C17" s="6">
        <f>ROUND(C16/9*6,2)</f>
        <v>5.5</v>
      </c>
      <c r="D17" s="6">
        <f>ROUND(D16/9*7,2)</f>
        <v>16.37</v>
      </c>
      <c r="E17" s="6">
        <f>ROUND(E16/9*8,2)</f>
        <v>163.33</v>
      </c>
      <c r="F17" s="6">
        <f>ROUND(F16/9*9,2)</f>
        <v>386.83</v>
      </c>
      <c r="G17" s="6">
        <f>ROUND(G16/9*11,2)</f>
        <v>397.53</v>
      </c>
      <c r="H17" s="6">
        <f>ROUND(H16/9*13,2)</f>
        <v>922.74</v>
      </c>
      <c r="I17" s="6">
        <f>ROUND(I16/9*15,2)</f>
        <v>3213.22</v>
      </c>
      <c r="J17" s="6">
        <f>ROUND(J16/9*18,2)</f>
        <v>923.1</v>
      </c>
      <c r="K17" s="7">
        <f>SUM(B17:J17)</f>
        <v>6028.62</v>
      </c>
    </row>
    <row r="19" ht="13.5" thickBot="1"/>
    <row r="20" spans="3:8" ht="18" customHeight="1" thickBot="1">
      <c r="C20" s="28" t="s">
        <v>25</v>
      </c>
      <c r="D20" s="29"/>
      <c r="E20" s="29"/>
      <c r="F20" s="29"/>
      <c r="G20" s="29"/>
      <c r="H20" s="30"/>
    </row>
    <row r="21" spans="3:8" ht="17.25" customHeight="1">
      <c r="C21" s="31" t="s">
        <v>26</v>
      </c>
      <c r="D21" s="32"/>
      <c r="E21" s="32"/>
      <c r="F21" s="33">
        <f>+K17</f>
        <v>6028.62</v>
      </c>
      <c r="G21" s="34"/>
      <c r="H21" s="35"/>
    </row>
    <row r="22" spans="3:8" ht="17.25" customHeight="1">
      <c r="C22" s="21" t="s">
        <v>27</v>
      </c>
      <c r="D22" s="22"/>
      <c r="E22" s="22"/>
      <c r="F22" s="13">
        <v>0.995</v>
      </c>
      <c r="G22" s="13"/>
      <c r="H22" s="14"/>
    </row>
    <row r="23" spans="3:8" ht="17.25" customHeight="1">
      <c r="C23" s="21" t="s">
        <v>28</v>
      </c>
      <c r="D23" s="22"/>
      <c r="E23" s="22"/>
      <c r="F23" s="36">
        <f>ROUND(F21*F22,2)</f>
        <v>5998.48</v>
      </c>
      <c r="G23" s="37"/>
      <c r="H23" s="38"/>
    </row>
    <row r="24" spans="3:8" ht="17.25" customHeight="1">
      <c r="C24" s="21" t="s">
        <v>29</v>
      </c>
      <c r="D24" s="22"/>
      <c r="E24" s="22"/>
      <c r="F24" s="36">
        <v>0</v>
      </c>
      <c r="G24" s="37"/>
      <c r="H24" s="38"/>
    </row>
    <row r="25" spans="3:8" ht="17.25" customHeight="1" thickBot="1">
      <c r="C25" s="23" t="s">
        <v>30</v>
      </c>
      <c r="D25" s="24"/>
      <c r="E25" s="24"/>
      <c r="F25" s="39">
        <f>SUM(F23:H24)</f>
        <v>5998.48</v>
      </c>
      <c r="G25" s="40"/>
      <c r="H25" s="41"/>
    </row>
  </sheetData>
  <mergeCells count="12">
    <mergeCell ref="B2:J2"/>
    <mergeCell ref="C20:H20"/>
    <mergeCell ref="C21:E21"/>
    <mergeCell ref="C22:E22"/>
    <mergeCell ref="C23:E23"/>
    <mergeCell ref="C24:E24"/>
    <mergeCell ref="C25:E25"/>
    <mergeCell ref="F21:H21"/>
    <mergeCell ref="F22:H22"/>
    <mergeCell ref="F23:H23"/>
    <mergeCell ref="F24:H24"/>
    <mergeCell ref="F25:H25"/>
  </mergeCells>
  <printOptions/>
  <pageMargins left="1.9291338582677167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0">
      <selection activeCell="K10" sqref="K1:K16384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5" width="8.421875" style="0" bestFit="1" customWidth="1"/>
    <col min="6" max="6" width="9.00390625" style="0" bestFit="1" customWidth="1"/>
    <col min="7" max="9" width="9.28125" style="0" bestFit="1" customWidth="1"/>
    <col min="10" max="10" width="8.28125" style="0" bestFit="1" customWidth="1"/>
    <col min="11" max="11" width="8.00390625" style="0" hidden="1" customWidth="1"/>
  </cols>
  <sheetData>
    <row r="1" ht="13.5" thickBot="1"/>
    <row r="2" spans="1:10" s="10" customFormat="1" ht="36.75" customHeight="1" thickBot="1">
      <c r="A2" s="9" t="s">
        <v>23</v>
      </c>
      <c r="B2" s="25" t="s">
        <v>32</v>
      </c>
      <c r="C2" s="26"/>
      <c r="D2" s="26"/>
      <c r="E2" s="26"/>
      <c r="F2" s="26"/>
      <c r="G2" s="26"/>
      <c r="H2" s="26"/>
      <c r="I2" s="26"/>
      <c r="J2" s="27"/>
    </row>
    <row r="3" ht="13.5" thickBot="1"/>
    <row r="4" spans="1:10" ht="36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20</v>
      </c>
      <c r="I4" s="2" t="s">
        <v>21</v>
      </c>
      <c r="J4" s="2" t="s">
        <v>22</v>
      </c>
    </row>
    <row r="5" spans="1:11" ht="15" thickBot="1">
      <c r="A5" s="3" t="s">
        <v>6</v>
      </c>
      <c r="B5" s="4">
        <v>0</v>
      </c>
      <c r="C5" s="6">
        <f>68-0-0</f>
        <v>68</v>
      </c>
      <c r="D5" s="6">
        <f>195-1-0</f>
        <v>194</v>
      </c>
      <c r="E5" s="6">
        <f>496-0-1</f>
        <v>495</v>
      </c>
      <c r="F5" s="6">
        <f>1202-0-7</f>
        <v>1195</v>
      </c>
      <c r="G5" s="6">
        <f>2409-0-8</f>
        <v>2401</v>
      </c>
      <c r="H5" s="6">
        <f>432-0-2</f>
        <v>430</v>
      </c>
      <c r="I5" s="6">
        <f>215-0-0</f>
        <v>215</v>
      </c>
      <c r="J5" s="6">
        <f>33-0-0</f>
        <v>33</v>
      </c>
      <c r="K5">
        <f aca="true" t="shared" si="0" ref="K5:K16">SUM(B5:J5)</f>
        <v>5031</v>
      </c>
    </row>
    <row r="6" spans="1:11" ht="15" thickBot="1">
      <c r="A6" s="3" t="s">
        <v>7</v>
      </c>
      <c r="B6" s="4">
        <v>0</v>
      </c>
      <c r="C6" s="6">
        <v>2</v>
      </c>
      <c r="D6" s="6">
        <v>4</v>
      </c>
      <c r="E6" s="6">
        <v>26</v>
      </c>
      <c r="F6" s="6">
        <v>14</v>
      </c>
      <c r="G6" s="6">
        <v>23</v>
      </c>
      <c r="H6" s="6">
        <v>7</v>
      </c>
      <c r="I6" s="6">
        <v>6</v>
      </c>
      <c r="J6" s="6">
        <v>1</v>
      </c>
      <c r="K6">
        <f t="shared" si="0"/>
        <v>83</v>
      </c>
    </row>
    <row r="7" spans="1:11" ht="15" thickBot="1">
      <c r="A7" s="3" t="s">
        <v>8</v>
      </c>
      <c r="B7" s="4">
        <v>0</v>
      </c>
      <c r="C7" s="6">
        <v>0</v>
      </c>
      <c r="D7" s="6">
        <v>1</v>
      </c>
      <c r="E7" s="6">
        <v>7</v>
      </c>
      <c r="F7" s="6">
        <v>8</v>
      </c>
      <c r="G7" s="6">
        <v>2</v>
      </c>
      <c r="H7" s="6">
        <v>0</v>
      </c>
      <c r="I7" s="6">
        <v>0</v>
      </c>
      <c r="J7" s="6">
        <v>0</v>
      </c>
      <c r="K7">
        <f t="shared" si="0"/>
        <v>18</v>
      </c>
    </row>
    <row r="8" spans="1:12" ht="30.75" thickBot="1">
      <c r="A8" s="5" t="s">
        <v>9</v>
      </c>
      <c r="B8" s="4">
        <f>SUM(B5:B7)</f>
        <v>0</v>
      </c>
      <c r="C8" s="6">
        <f>+C5-C6+C7</f>
        <v>66</v>
      </c>
      <c r="D8" s="6">
        <f aca="true" t="shared" si="1" ref="D8:J8">+D5-D6+D7</f>
        <v>191</v>
      </c>
      <c r="E8" s="6">
        <f t="shared" si="1"/>
        <v>476</v>
      </c>
      <c r="F8" s="6">
        <f t="shared" si="1"/>
        <v>1189</v>
      </c>
      <c r="G8" s="6">
        <f t="shared" si="1"/>
        <v>2380</v>
      </c>
      <c r="H8" s="6">
        <f t="shared" si="1"/>
        <v>423</v>
      </c>
      <c r="I8" s="6">
        <f t="shared" si="1"/>
        <v>209</v>
      </c>
      <c r="J8" s="6">
        <f t="shared" si="1"/>
        <v>32</v>
      </c>
      <c r="K8">
        <f t="shared" si="0"/>
        <v>4966</v>
      </c>
      <c r="L8" s="11"/>
    </row>
    <row r="9" spans="1:11" ht="15" thickBot="1">
      <c r="A9" s="3" t="s">
        <v>10</v>
      </c>
      <c r="B9" s="4">
        <v>0</v>
      </c>
      <c r="C9" s="6">
        <v>2</v>
      </c>
      <c r="D9" s="6">
        <v>2</v>
      </c>
      <c r="E9" s="6">
        <v>6</v>
      </c>
      <c r="F9" s="6">
        <v>4</v>
      </c>
      <c r="G9" s="6">
        <v>6</v>
      </c>
      <c r="H9" s="6">
        <v>0</v>
      </c>
      <c r="I9" s="6">
        <v>0</v>
      </c>
      <c r="J9" s="6">
        <v>0</v>
      </c>
      <c r="K9">
        <f t="shared" si="0"/>
        <v>20</v>
      </c>
    </row>
    <row r="10" spans="1:11" ht="15" thickBot="1">
      <c r="A10" s="3" t="s">
        <v>11</v>
      </c>
      <c r="B10" s="4">
        <v>0</v>
      </c>
      <c r="C10" s="6">
        <v>58</v>
      </c>
      <c r="D10" s="6">
        <v>141</v>
      </c>
      <c r="E10" s="6">
        <f>241+6</f>
        <v>247</v>
      </c>
      <c r="F10" s="6">
        <f>402+3</f>
        <v>405</v>
      </c>
      <c r="G10" s="6">
        <f>512+12</f>
        <v>524</v>
      </c>
      <c r="H10" s="6">
        <f>92+2</f>
        <v>94</v>
      </c>
      <c r="I10" s="6">
        <f>27+2</f>
        <v>29</v>
      </c>
      <c r="J10" s="6">
        <v>0</v>
      </c>
      <c r="K10">
        <f t="shared" si="0"/>
        <v>1498</v>
      </c>
    </row>
    <row r="11" spans="1:11" ht="15" thickBot="1">
      <c r="A11" s="3" t="s">
        <v>12</v>
      </c>
      <c r="B11" s="4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>
        <f t="shared" si="0"/>
        <v>1</v>
      </c>
    </row>
    <row r="12" spans="1:11" ht="30.75" thickBot="1">
      <c r="A12" s="5" t="s">
        <v>13</v>
      </c>
      <c r="B12" s="4">
        <f>(B9*0.1)+(B10*0.25)+(B11*0.5)</f>
        <v>0</v>
      </c>
      <c r="C12" s="6">
        <f aca="true" t="shared" si="2" ref="C12:J12">(C9*0.1)+(C10*0.25)+(C11*0.5)</f>
        <v>14.7</v>
      </c>
      <c r="D12" s="6">
        <f t="shared" si="2"/>
        <v>35.45</v>
      </c>
      <c r="E12" s="6">
        <f t="shared" si="2"/>
        <v>62.35</v>
      </c>
      <c r="F12" s="6">
        <f t="shared" si="2"/>
        <v>101.65</v>
      </c>
      <c r="G12" s="6">
        <f t="shared" si="2"/>
        <v>131.6</v>
      </c>
      <c r="H12" s="6">
        <f t="shared" si="2"/>
        <v>23.5</v>
      </c>
      <c r="I12" s="6">
        <f t="shared" si="2"/>
        <v>7.25</v>
      </c>
      <c r="J12" s="6">
        <f t="shared" si="2"/>
        <v>0.5</v>
      </c>
      <c r="K12" s="8">
        <f t="shared" si="0"/>
        <v>377</v>
      </c>
    </row>
    <row r="13" spans="1:11" ht="15" thickBot="1">
      <c r="A13" s="3" t="s">
        <v>14</v>
      </c>
      <c r="B13" s="4">
        <v>0</v>
      </c>
      <c r="C13" s="6">
        <v>0</v>
      </c>
      <c r="D13" s="6">
        <v>1.5</v>
      </c>
      <c r="E13" s="6">
        <v>1.25</v>
      </c>
      <c r="F13" s="6">
        <v>2.75</v>
      </c>
      <c r="G13" s="6">
        <v>0</v>
      </c>
      <c r="H13" s="6">
        <v>2.33</v>
      </c>
      <c r="I13" s="6">
        <v>0</v>
      </c>
      <c r="J13" s="6">
        <v>0</v>
      </c>
      <c r="K13">
        <f t="shared" si="0"/>
        <v>7.83</v>
      </c>
    </row>
    <row r="14" spans="1:11" ht="15" thickBot="1">
      <c r="A14" s="3" t="s">
        <v>15</v>
      </c>
      <c r="B14" s="4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>
        <f t="shared" si="0"/>
        <v>0</v>
      </c>
    </row>
    <row r="15" spans="1:11" ht="30.75" thickBot="1">
      <c r="A15" s="5" t="s">
        <v>16</v>
      </c>
      <c r="B15" s="4">
        <f>+B13-B14</f>
        <v>0</v>
      </c>
      <c r="C15" s="6">
        <f aca="true" t="shared" si="3" ref="C15:J15">+C13-C14</f>
        <v>0</v>
      </c>
      <c r="D15" s="6">
        <f t="shared" si="3"/>
        <v>1.5</v>
      </c>
      <c r="E15" s="6">
        <f t="shared" si="3"/>
        <v>1.25</v>
      </c>
      <c r="F15" s="6">
        <f t="shared" si="3"/>
        <v>2.75</v>
      </c>
      <c r="G15" s="6">
        <f t="shared" si="3"/>
        <v>0</v>
      </c>
      <c r="H15" s="6">
        <f t="shared" si="3"/>
        <v>2.33</v>
      </c>
      <c r="I15" s="6">
        <f t="shared" si="3"/>
        <v>0</v>
      </c>
      <c r="J15" s="6">
        <f t="shared" si="3"/>
        <v>0</v>
      </c>
      <c r="K15">
        <f t="shared" si="0"/>
        <v>7.83</v>
      </c>
    </row>
    <row r="16" spans="1:11" ht="15" thickBot="1">
      <c r="A16" s="3" t="s">
        <v>17</v>
      </c>
      <c r="B16" s="4">
        <f>+B8-B12+B15</f>
        <v>0</v>
      </c>
      <c r="C16" s="6">
        <f aca="true" t="shared" si="4" ref="C16:J16">+C8-C12+C15</f>
        <v>51.3</v>
      </c>
      <c r="D16" s="6">
        <f t="shared" si="4"/>
        <v>157.05</v>
      </c>
      <c r="E16" s="6">
        <f t="shared" si="4"/>
        <v>414.9</v>
      </c>
      <c r="F16" s="6">
        <f t="shared" si="4"/>
        <v>1090.1</v>
      </c>
      <c r="G16" s="6">
        <f t="shared" si="4"/>
        <v>2248.4</v>
      </c>
      <c r="H16" s="6">
        <f t="shared" si="4"/>
        <v>401.83</v>
      </c>
      <c r="I16" s="6">
        <f t="shared" si="4"/>
        <v>201.75</v>
      </c>
      <c r="J16" s="6">
        <f t="shared" si="4"/>
        <v>31.5</v>
      </c>
      <c r="K16">
        <f t="shared" si="0"/>
        <v>4596.83</v>
      </c>
    </row>
    <row r="17" spans="1:11" ht="30.75" thickBot="1">
      <c r="A17" s="5" t="s">
        <v>18</v>
      </c>
      <c r="B17" s="4">
        <f>ROUND(B16/9*5,2)</f>
        <v>0</v>
      </c>
      <c r="C17" s="6">
        <f>ROUND(C16/9*6,2)</f>
        <v>34.2</v>
      </c>
      <c r="D17" s="6">
        <f>ROUND(D16/9*7,2)</f>
        <v>122.15</v>
      </c>
      <c r="E17" s="6">
        <f>ROUND(E16/9*8,2)</f>
        <v>368.8</v>
      </c>
      <c r="F17" s="6">
        <f>ROUND(F16,2)</f>
        <v>1090.1</v>
      </c>
      <c r="G17" s="6">
        <f>ROUND(G16/9*11,2)</f>
        <v>2748.04</v>
      </c>
      <c r="H17" s="6">
        <f>ROUND(H16/9*13,2)</f>
        <v>580.42</v>
      </c>
      <c r="I17" s="6">
        <f>ROUND(I16/9*15,2)</f>
        <v>336.25</v>
      </c>
      <c r="J17" s="6">
        <f>ROUND(J16/9*18,2)</f>
        <v>63</v>
      </c>
      <c r="K17">
        <f>SUM(B17:J17)</f>
        <v>5342.96</v>
      </c>
    </row>
    <row r="19" ht="13.5" thickBot="1"/>
    <row r="20" spans="3:8" ht="18" customHeight="1" thickBot="1">
      <c r="C20" s="28" t="s">
        <v>25</v>
      </c>
      <c r="D20" s="29"/>
      <c r="E20" s="29"/>
      <c r="F20" s="29"/>
      <c r="G20" s="29"/>
      <c r="H20" s="30"/>
    </row>
    <row r="21" spans="3:8" ht="17.25" customHeight="1">
      <c r="C21" s="31" t="s">
        <v>26</v>
      </c>
      <c r="D21" s="32"/>
      <c r="E21" s="32"/>
      <c r="F21" s="33">
        <f>+K17</f>
        <v>5342.96</v>
      </c>
      <c r="G21" s="34"/>
      <c r="H21" s="35"/>
    </row>
    <row r="22" spans="3:8" ht="17.25" customHeight="1">
      <c r="C22" s="21" t="s">
        <v>27</v>
      </c>
      <c r="D22" s="22"/>
      <c r="E22" s="22"/>
      <c r="F22" s="13">
        <v>0.995</v>
      </c>
      <c r="G22" s="13"/>
      <c r="H22" s="14"/>
    </row>
    <row r="23" spans="3:8" ht="17.25" customHeight="1">
      <c r="C23" s="21" t="s">
        <v>28</v>
      </c>
      <c r="D23" s="22"/>
      <c r="E23" s="22"/>
      <c r="F23" s="15">
        <f>ROUND(F21*F22,2)</f>
        <v>5316.25</v>
      </c>
      <c r="G23" s="16"/>
      <c r="H23" s="17"/>
    </row>
    <row r="24" spans="3:8" ht="17.25" customHeight="1">
      <c r="C24" s="21" t="s">
        <v>29</v>
      </c>
      <c r="D24" s="22"/>
      <c r="E24" s="22"/>
      <c r="F24" s="15">
        <v>0</v>
      </c>
      <c r="G24" s="16"/>
      <c r="H24" s="17"/>
    </row>
    <row r="25" spans="3:8" ht="17.25" customHeight="1" thickBot="1">
      <c r="C25" s="23" t="s">
        <v>30</v>
      </c>
      <c r="D25" s="24"/>
      <c r="E25" s="24"/>
      <c r="F25" s="18">
        <f>SUM(F23:H24)</f>
        <v>5316.25</v>
      </c>
      <c r="G25" s="19"/>
      <c r="H25" s="20"/>
    </row>
  </sheetData>
  <mergeCells count="12">
    <mergeCell ref="B2:J2"/>
    <mergeCell ref="C20:H20"/>
    <mergeCell ref="C21:E21"/>
    <mergeCell ref="F21:H21"/>
    <mergeCell ref="C22:E22"/>
    <mergeCell ref="C23:E23"/>
    <mergeCell ref="C24:E24"/>
    <mergeCell ref="C25:E25"/>
    <mergeCell ref="F22:H22"/>
    <mergeCell ref="F23:H23"/>
    <mergeCell ref="F24:H24"/>
    <mergeCell ref="F25:H25"/>
  </mergeCells>
  <printOptions/>
  <pageMargins left="1.9291338582677167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7">
      <selection activeCell="M24" sqref="M24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6" width="8.28125" style="0" bestFit="1" customWidth="1"/>
    <col min="11" max="11" width="8.00390625" style="0" hidden="1" customWidth="1"/>
  </cols>
  <sheetData>
    <row r="1" ht="13.5" thickBot="1"/>
    <row r="2" spans="1:10" s="10" customFormat="1" ht="36.75" customHeight="1" thickBot="1">
      <c r="A2" s="9" t="s">
        <v>23</v>
      </c>
      <c r="B2" s="25" t="s">
        <v>34</v>
      </c>
      <c r="C2" s="26"/>
      <c r="D2" s="26"/>
      <c r="E2" s="26"/>
      <c r="F2" s="26"/>
      <c r="G2" s="26"/>
      <c r="H2" s="26"/>
      <c r="I2" s="26"/>
      <c r="J2" s="27"/>
    </row>
    <row r="3" ht="13.5" thickBot="1"/>
    <row r="4" spans="1:10" ht="36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20</v>
      </c>
      <c r="I4" s="2" t="s">
        <v>21</v>
      </c>
      <c r="J4" s="2" t="s">
        <v>22</v>
      </c>
    </row>
    <row r="5" spans="1:11" ht="15" thickBot="1">
      <c r="A5" s="3" t="s">
        <v>6</v>
      </c>
      <c r="B5" s="4">
        <v>0</v>
      </c>
      <c r="C5" s="6">
        <f>30-1-0</f>
        <v>29</v>
      </c>
      <c r="D5" s="6">
        <f>12-0-0</f>
        <v>12</v>
      </c>
      <c r="E5" s="6">
        <f>57-0-1</f>
        <v>56</v>
      </c>
      <c r="F5" s="6">
        <f>60-0-0</f>
        <v>60</v>
      </c>
      <c r="G5" s="6">
        <f>138-0-0</f>
        <v>138</v>
      </c>
      <c r="H5" s="6">
        <f>127-0-1</f>
        <v>126</v>
      </c>
      <c r="I5" s="6">
        <f>315-0-1</f>
        <v>314</v>
      </c>
      <c r="J5" s="6">
        <f>81-0-1</f>
        <v>80</v>
      </c>
      <c r="K5">
        <f aca="true" t="shared" si="0" ref="K5:K16">SUM(B5:J5)</f>
        <v>815</v>
      </c>
    </row>
    <row r="6" spans="1:11" ht="15" thickBot="1">
      <c r="A6" s="3" t="s">
        <v>7</v>
      </c>
      <c r="B6" s="4">
        <v>0</v>
      </c>
      <c r="C6" s="6">
        <v>2</v>
      </c>
      <c r="D6" s="6">
        <v>0</v>
      </c>
      <c r="E6" s="6">
        <v>2</v>
      </c>
      <c r="F6" s="6">
        <v>1</v>
      </c>
      <c r="G6" s="6">
        <v>3</v>
      </c>
      <c r="H6" s="6">
        <v>0</v>
      </c>
      <c r="I6" s="6">
        <v>3</v>
      </c>
      <c r="J6" s="6">
        <v>0</v>
      </c>
      <c r="K6">
        <f t="shared" si="0"/>
        <v>11</v>
      </c>
    </row>
    <row r="7" spans="1:11" ht="15" thickBot="1">
      <c r="A7" s="3" t="s">
        <v>8</v>
      </c>
      <c r="B7" s="4">
        <v>0</v>
      </c>
      <c r="C7" s="6">
        <v>0</v>
      </c>
      <c r="D7" s="6">
        <v>1</v>
      </c>
      <c r="E7" s="6">
        <v>0</v>
      </c>
      <c r="F7" s="6">
        <v>0</v>
      </c>
      <c r="G7" s="6">
        <v>1</v>
      </c>
      <c r="H7" s="6">
        <v>1</v>
      </c>
      <c r="I7" s="6">
        <v>1</v>
      </c>
      <c r="J7" s="6">
        <v>0</v>
      </c>
      <c r="K7">
        <f t="shared" si="0"/>
        <v>4</v>
      </c>
    </row>
    <row r="8" spans="1:12" ht="30.75" thickBot="1">
      <c r="A8" s="5" t="s">
        <v>9</v>
      </c>
      <c r="B8" s="4">
        <f>SUM(B5:B7)</f>
        <v>0</v>
      </c>
      <c r="C8" s="6">
        <f>+C5-C6+C7</f>
        <v>27</v>
      </c>
      <c r="D8" s="6">
        <f aca="true" t="shared" si="1" ref="D8:J8">+D5-D6+D7</f>
        <v>13</v>
      </c>
      <c r="E8" s="6">
        <f t="shared" si="1"/>
        <v>54</v>
      </c>
      <c r="F8" s="6">
        <f t="shared" si="1"/>
        <v>59</v>
      </c>
      <c r="G8" s="6">
        <f t="shared" si="1"/>
        <v>136</v>
      </c>
      <c r="H8" s="6">
        <f t="shared" si="1"/>
        <v>127</v>
      </c>
      <c r="I8" s="6">
        <f t="shared" si="1"/>
        <v>312</v>
      </c>
      <c r="J8" s="6">
        <f t="shared" si="1"/>
        <v>80</v>
      </c>
      <c r="K8">
        <f t="shared" si="0"/>
        <v>808</v>
      </c>
      <c r="L8" s="11"/>
    </row>
    <row r="9" spans="1:11" ht="15" thickBot="1">
      <c r="A9" s="3" t="s">
        <v>10</v>
      </c>
      <c r="B9" s="4">
        <v>0</v>
      </c>
      <c r="C9" s="6">
        <v>0</v>
      </c>
      <c r="D9" s="6">
        <v>1</v>
      </c>
      <c r="E9" s="6">
        <v>0</v>
      </c>
      <c r="F9" s="6">
        <v>0</v>
      </c>
      <c r="G9" s="6">
        <v>1</v>
      </c>
      <c r="H9" s="6">
        <v>1</v>
      </c>
      <c r="I9" s="6">
        <v>0</v>
      </c>
      <c r="J9" s="6">
        <v>1</v>
      </c>
      <c r="K9">
        <f t="shared" si="0"/>
        <v>4</v>
      </c>
    </row>
    <row r="10" spans="1:11" ht="15" thickBot="1">
      <c r="A10" s="3" t="s">
        <v>11</v>
      </c>
      <c r="B10" s="4">
        <v>0</v>
      </c>
      <c r="C10" s="6">
        <v>9</v>
      </c>
      <c r="D10" s="6">
        <v>7</v>
      </c>
      <c r="E10" s="6">
        <v>35</v>
      </c>
      <c r="F10" s="6">
        <f>29+1</f>
        <v>30</v>
      </c>
      <c r="G10" s="6">
        <v>47</v>
      </c>
      <c r="H10" s="6">
        <v>34</v>
      </c>
      <c r="I10" s="6">
        <f>71+2</f>
        <v>73</v>
      </c>
      <c r="J10" s="6">
        <v>5</v>
      </c>
      <c r="K10">
        <f t="shared" si="0"/>
        <v>240</v>
      </c>
    </row>
    <row r="11" spans="1:11" ht="15" thickBot="1">
      <c r="A11" s="3" t="s">
        <v>12</v>
      </c>
      <c r="B11" s="4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>
        <f t="shared" si="0"/>
        <v>0</v>
      </c>
    </row>
    <row r="12" spans="1:11" ht="30.75" thickBot="1">
      <c r="A12" s="5" t="s">
        <v>13</v>
      </c>
      <c r="B12" s="4">
        <f>(B9*0.1)+(B10*0.25)+(B11*0.5)</f>
        <v>0</v>
      </c>
      <c r="C12" s="6">
        <f aca="true" t="shared" si="2" ref="C12:J12">(C9*0.1)+(C10*0.25)+(C11*0.5)</f>
        <v>2.25</v>
      </c>
      <c r="D12" s="6">
        <f t="shared" si="2"/>
        <v>1.85</v>
      </c>
      <c r="E12" s="6">
        <f t="shared" si="2"/>
        <v>8.75</v>
      </c>
      <c r="F12" s="6">
        <f t="shared" si="2"/>
        <v>7.5</v>
      </c>
      <c r="G12" s="6">
        <f t="shared" si="2"/>
        <v>11.85</v>
      </c>
      <c r="H12" s="6">
        <f t="shared" si="2"/>
        <v>8.6</v>
      </c>
      <c r="I12" s="6">
        <f t="shared" si="2"/>
        <v>18.25</v>
      </c>
      <c r="J12" s="6">
        <f t="shared" si="2"/>
        <v>1.35</v>
      </c>
      <c r="K12">
        <f t="shared" si="0"/>
        <v>60.400000000000006</v>
      </c>
    </row>
    <row r="13" spans="1:11" ht="15" thickBot="1">
      <c r="A13" s="3" t="s">
        <v>14</v>
      </c>
      <c r="B13" s="4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1.75</v>
      </c>
      <c r="J13" s="6">
        <v>0</v>
      </c>
      <c r="K13">
        <f t="shared" si="0"/>
        <v>3.75</v>
      </c>
    </row>
    <row r="14" spans="1:11" ht="15" thickBot="1">
      <c r="A14" s="3" t="s">
        <v>15</v>
      </c>
      <c r="B14" s="4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>
        <f t="shared" si="0"/>
        <v>0</v>
      </c>
    </row>
    <row r="15" spans="1:11" ht="30.75" thickBot="1">
      <c r="A15" s="5" t="s">
        <v>16</v>
      </c>
      <c r="B15" s="4">
        <f>+B13-B14</f>
        <v>0</v>
      </c>
      <c r="C15" s="6">
        <f aca="true" t="shared" si="3" ref="C15:J15">+C13-C14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2</v>
      </c>
      <c r="I15" s="6">
        <f t="shared" si="3"/>
        <v>1.75</v>
      </c>
      <c r="J15" s="6">
        <f t="shared" si="3"/>
        <v>0</v>
      </c>
      <c r="K15">
        <f t="shared" si="0"/>
        <v>3.75</v>
      </c>
    </row>
    <row r="16" spans="1:11" ht="15" thickBot="1">
      <c r="A16" s="3" t="s">
        <v>17</v>
      </c>
      <c r="B16" s="4">
        <f>+B8-B12+B15</f>
        <v>0</v>
      </c>
      <c r="C16" s="6">
        <f aca="true" t="shared" si="4" ref="C16:J16">+C8-C12+C15</f>
        <v>24.75</v>
      </c>
      <c r="D16" s="6">
        <f t="shared" si="4"/>
        <v>11.15</v>
      </c>
      <c r="E16" s="6">
        <f t="shared" si="4"/>
        <v>45.25</v>
      </c>
      <c r="F16" s="6">
        <f t="shared" si="4"/>
        <v>51.5</v>
      </c>
      <c r="G16" s="6">
        <f t="shared" si="4"/>
        <v>124.15</v>
      </c>
      <c r="H16" s="6">
        <f t="shared" si="4"/>
        <v>120.4</v>
      </c>
      <c r="I16" s="6">
        <f t="shared" si="4"/>
        <v>295.5</v>
      </c>
      <c r="J16" s="6">
        <f t="shared" si="4"/>
        <v>78.65</v>
      </c>
      <c r="K16">
        <f t="shared" si="0"/>
        <v>751.35</v>
      </c>
    </row>
    <row r="17" spans="1:11" ht="30.75" thickBot="1">
      <c r="A17" s="5" t="s">
        <v>18</v>
      </c>
      <c r="B17" s="4">
        <f>ROUND(B16/9*5,2)</f>
        <v>0</v>
      </c>
      <c r="C17" s="6">
        <f>ROUND(C16/9*6,2)</f>
        <v>16.5</v>
      </c>
      <c r="D17" s="6">
        <f>ROUND(D16/9*7,2)</f>
        <v>8.67</v>
      </c>
      <c r="E17" s="6">
        <f>ROUND(E16/9*8,2)</f>
        <v>40.22</v>
      </c>
      <c r="F17" s="6">
        <f>ROUND(F16,2)</f>
        <v>51.5</v>
      </c>
      <c r="G17" s="6">
        <f>ROUND(G16/9*11,2)</f>
        <v>151.74</v>
      </c>
      <c r="H17" s="6">
        <f>ROUND(H16/9*13,2)</f>
        <v>173.91</v>
      </c>
      <c r="I17" s="6">
        <f>ROUND(I16/9*15,2)</f>
        <v>492.5</v>
      </c>
      <c r="J17" s="6">
        <f>ROUND(J16/9*18,2)</f>
        <v>157.3</v>
      </c>
      <c r="K17">
        <f>SUM(B17:J17)</f>
        <v>1092.34</v>
      </c>
    </row>
    <row r="19" ht="13.5" thickBot="1"/>
    <row r="20" spans="3:8" ht="18" customHeight="1" thickBot="1">
      <c r="C20" s="28" t="s">
        <v>25</v>
      </c>
      <c r="D20" s="29"/>
      <c r="E20" s="29"/>
      <c r="F20" s="29"/>
      <c r="G20" s="29"/>
      <c r="H20" s="30"/>
    </row>
    <row r="21" spans="3:8" ht="17.25" customHeight="1">
      <c r="C21" s="31" t="s">
        <v>26</v>
      </c>
      <c r="D21" s="32"/>
      <c r="E21" s="32"/>
      <c r="F21" s="33">
        <f>+K17</f>
        <v>1092.34</v>
      </c>
      <c r="G21" s="34"/>
      <c r="H21" s="35"/>
    </row>
    <row r="22" spans="3:8" ht="17.25" customHeight="1">
      <c r="C22" s="21" t="s">
        <v>27</v>
      </c>
      <c r="D22" s="22"/>
      <c r="E22" s="22"/>
      <c r="F22" s="13">
        <v>0.995</v>
      </c>
      <c r="G22" s="13"/>
      <c r="H22" s="14"/>
    </row>
    <row r="23" spans="3:8" ht="17.25" customHeight="1">
      <c r="C23" s="21" t="s">
        <v>28</v>
      </c>
      <c r="D23" s="22"/>
      <c r="E23" s="22"/>
      <c r="F23" s="36">
        <f>ROUND(F21*F22,2)</f>
        <v>1086.88</v>
      </c>
      <c r="G23" s="37"/>
      <c r="H23" s="38"/>
    </row>
    <row r="24" spans="3:8" ht="17.25" customHeight="1">
      <c r="C24" s="21" t="s">
        <v>29</v>
      </c>
      <c r="D24" s="22"/>
      <c r="E24" s="22"/>
      <c r="F24" s="36">
        <v>0</v>
      </c>
      <c r="G24" s="37"/>
      <c r="H24" s="38"/>
    </row>
    <row r="25" spans="3:8" ht="17.25" customHeight="1" thickBot="1">
      <c r="C25" s="23" t="s">
        <v>30</v>
      </c>
      <c r="D25" s="24"/>
      <c r="E25" s="24"/>
      <c r="F25" s="18">
        <f>SUM(F23:H24)</f>
        <v>1086.88</v>
      </c>
      <c r="G25" s="19"/>
      <c r="H25" s="20"/>
    </row>
  </sheetData>
  <mergeCells count="12">
    <mergeCell ref="B2:J2"/>
    <mergeCell ref="C20:H20"/>
    <mergeCell ref="C21:E21"/>
    <mergeCell ref="F21:H21"/>
    <mergeCell ref="C22:E22"/>
    <mergeCell ref="C23:E23"/>
    <mergeCell ref="C24:E24"/>
    <mergeCell ref="C25:E25"/>
    <mergeCell ref="F22:H22"/>
    <mergeCell ref="F23:H23"/>
    <mergeCell ref="F24:H24"/>
    <mergeCell ref="F25:H25"/>
  </mergeCells>
  <printOptions/>
  <pageMargins left="1.9291338582677167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0">
      <selection activeCell="K10" sqref="K1:K16384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3" width="8.421875" style="0" bestFit="1" customWidth="1"/>
    <col min="4" max="6" width="9.00390625" style="0" bestFit="1" customWidth="1"/>
    <col min="7" max="10" width="9.28125" style="0" bestFit="1" customWidth="1"/>
    <col min="11" max="11" width="8.00390625" style="0" hidden="1" customWidth="1"/>
  </cols>
  <sheetData>
    <row r="1" ht="13.5" thickBot="1"/>
    <row r="2" spans="1:10" s="10" customFormat="1" ht="36.75" customHeight="1" thickBot="1">
      <c r="A2" s="9" t="s">
        <v>23</v>
      </c>
      <c r="B2" s="25" t="s">
        <v>35</v>
      </c>
      <c r="C2" s="26"/>
      <c r="D2" s="26"/>
      <c r="E2" s="26"/>
      <c r="F2" s="26"/>
      <c r="G2" s="26"/>
      <c r="H2" s="26"/>
      <c r="I2" s="26"/>
      <c r="J2" s="27"/>
    </row>
    <row r="3" ht="13.5" thickBot="1"/>
    <row r="4" spans="1:10" ht="36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20</v>
      </c>
      <c r="I4" s="2" t="s">
        <v>21</v>
      </c>
      <c r="J4" s="2" t="s">
        <v>22</v>
      </c>
    </row>
    <row r="5" spans="1:11" ht="15" thickBot="1">
      <c r="A5" s="3" t="s">
        <v>6</v>
      </c>
      <c r="B5" s="4">
        <v>0</v>
      </c>
      <c r="C5" s="6">
        <f>188-1-0</f>
        <v>187</v>
      </c>
      <c r="D5" s="6">
        <f>1079-0-4</f>
        <v>1075</v>
      </c>
      <c r="E5" s="6">
        <f>2483-0-3</f>
        <v>2480</v>
      </c>
      <c r="F5" s="6">
        <f>3120-0-8</f>
        <v>3112</v>
      </c>
      <c r="G5" s="6">
        <f>1236-1-13</f>
        <v>1222</v>
      </c>
      <c r="H5" s="6">
        <f>551-0-3</f>
        <v>548</v>
      </c>
      <c r="I5" s="6">
        <f>120-0-4</f>
        <v>116</v>
      </c>
      <c r="J5" s="6">
        <f>18-0-2</f>
        <v>16</v>
      </c>
      <c r="K5">
        <f aca="true" t="shared" si="0" ref="K5:K16">SUM(B5:J5)</f>
        <v>8756</v>
      </c>
    </row>
    <row r="6" spans="1:11" ht="15" thickBot="1">
      <c r="A6" s="3" t="s">
        <v>7</v>
      </c>
      <c r="B6" s="4">
        <v>0</v>
      </c>
      <c r="C6" s="6">
        <v>10</v>
      </c>
      <c r="D6" s="6">
        <v>35</v>
      </c>
      <c r="E6" s="6">
        <v>53</v>
      </c>
      <c r="F6" s="6">
        <v>48</v>
      </c>
      <c r="G6" s="6">
        <v>20</v>
      </c>
      <c r="H6" s="6">
        <v>4</v>
      </c>
      <c r="I6" s="6">
        <v>1</v>
      </c>
      <c r="J6" s="6">
        <v>0</v>
      </c>
      <c r="K6">
        <f t="shared" si="0"/>
        <v>171</v>
      </c>
    </row>
    <row r="7" spans="1:11" ht="15" thickBot="1">
      <c r="A7" s="3" t="s">
        <v>8</v>
      </c>
      <c r="B7" s="4">
        <v>0</v>
      </c>
      <c r="C7" s="6">
        <v>4</v>
      </c>
      <c r="D7" s="6">
        <v>3</v>
      </c>
      <c r="E7" s="6">
        <v>8</v>
      </c>
      <c r="F7" s="6">
        <v>13</v>
      </c>
      <c r="G7" s="6">
        <v>3</v>
      </c>
      <c r="H7" s="6">
        <v>4</v>
      </c>
      <c r="I7" s="6">
        <v>2</v>
      </c>
      <c r="J7" s="6">
        <v>0</v>
      </c>
      <c r="K7">
        <f t="shared" si="0"/>
        <v>37</v>
      </c>
    </row>
    <row r="8" spans="1:12" ht="30.75" thickBot="1">
      <c r="A8" s="5" t="s">
        <v>9</v>
      </c>
      <c r="B8" s="4">
        <f>SUM(B5:B7)</f>
        <v>0</v>
      </c>
      <c r="C8" s="6">
        <f>+C5-C6+C7</f>
        <v>181</v>
      </c>
      <c r="D8" s="6">
        <f aca="true" t="shared" si="1" ref="D8:J8">+D5-D6+D7</f>
        <v>1043</v>
      </c>
      <c r="E8" s="6">
        <f t="shared" si="1"/>
        <v>2435</v>
      </c>
      <c r="F8" s="6">
        <f t="shared" si="1"/>
        <v>3077</v>
      </c>
      <c r="G8" s="6">
        <f t="shared" si="1"/>
        <v>1205</v>
      </c>
      <c r="H8" s="6">
        <f t="shared" si="1"/>
        <v>548</v>
      </c>
      <c r="I8" s="6">
        <f t="shared" si="1"/>
        <v>117</v>
      </c>
      <c r="J8" s="6">
        <f t="shared" si="1"/>
        <v>16</v>
      </c>
      <c r="K8">
        <f t="shared" si="0"/>
        <v>8622</v>
      </c>
      <c r="L8" s="11"/>
    </row>
    <row r="9" spans="1:11" ht="15" thickBot="1">
      <c r="A9" s="3" t="s">
        <v>10</v>
      </c>
      <c r="B9" s="4">
        <v>0</v>
      </c>
      <c r="C9" s="6">
        <v>0</v>
      </c>
      <c r="D9" s="6">
        <v>1</v>
      </c>
      <c r="E9" s="6">
        <v>7</v>
      </c>
      <c r="F9" s="6">
        <v>1</v>
      </c>
      <c r="G9" s="6">
        <v>3</v>
      </c>
      <c r="H9" s="6">
        <v>0</v>
      </c>
      <c r="I9" s="6">
        <v>0</v>
      </c>
      <c r="J9" s="6">
        <v>0</v>
      </c>
      <c r="K9">
        <f t="shared" si="0"/>
        <v>12</v>
      </c>
    </row>
    <row r="10" spans="1:11" ht="15" thickBot="1">
      <c r="A10" s="3" t="s">
        <v>11</v>
      </c>
      <c r="B10" s="4">
        <v>0</v>
      </c>
      <c r="C10" s="6">
        <f>72+1</f>
        <v>73</v>
      </c>
      <c r="D10" s="6">
        <f>823+3</f>
        <v>826</v>
      </c>
      <c r="E10" s="6">
        <f>1106+14</f>
        <v>1120</v>
      </c>
      <c r="F10" s="6">
        <f>1003+29</f>
        <v>1032</v>
      </c>
      <c r="G10" s="6">
        <f>317+3</f>
        <v>320</v>
      </c>
      <c r="H10" s="6">
        <f>90+1</f>
        <v>91</v>
      </c>
      <c r="I10" s="6">
        <f>10+0</f>
        <v>10</v>
      </c>
      <c r="J10" s="6">
        <f>2+0</f>
        <v>2</v>
      </c>
      <c r="K10">
        <f t="shared" si="0"/>
        <v>3474</v>
      </c>
    </row>
    <row r="11" spans="1:11" ht="15" thickBot="1">
      <c r="A11" s="3" t="s">
        <v>12</v>
      </c>
      <c r="B11" s="4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1</v>
      </c>
      <c r="I11" s="6">
        <v>2</v>
      </c>
      <c r="J11" s="6">
        <v>1</v>
      </c>
      <c r="K11">
        <f t="shared" si="0"/>
        <v>5</v>
      </c>
    </row>
    <row r="12" spans="1:11" ht="30.75" thickBot="1">
      <c r="A12" s="5" t="s">
        <v>13</v>
      </c>
      <c r="B12" s="4">
        <f>(B9*0.1)+(B10*0.25)+(B11*0.5)</f>
        <v>0</v>
      </c>
      <c r="C12" s="6">
        <f aca="true" t="shared" si="2" ref="C12:J12">(C9*0.1)+(C10*0.25)+(C11*0.5)</f>
        <v>18.25</v>
      </c>
      <c r="D12" s="6">
        <f t="shared" si="2"/>
        <v>206.6</v>
      </c>
      <c r="E12" s="6">
        <f t="shared" si="2"/>
        <v>280.7</v>
      </c>
      <c r="F12" s="6">
        <f t="shared" si="2"/>
        <v>258.1</v>
      </c>
      <c r="G12" s="6">
        <f t="shared" si="2"/>
        <v>80.8</v>
      </c>
      <c r="H12" s="6">
        <f t="shared" si="2"/>
        <v>23.25</v>
      </c>
      <c r="I12" s="6">
        <f t="shared" si="2"/>
        <v>3.5</v>
      </c>
      <c r="J12" s="6">
        <f t="shared" si="2"/>
        <v>1</v>
      </c>
      <c r="K12">
        <f t="shared" si="0"/>
        <v>872.1999999999999</v>
      </c>
    </row>
    <row r="13" spans="1:11" ht="15" thickBot="1">
      <c r="A13" s="3" t="s">
        <v>14</v>
      </c>
      <c r="B13" s="4">
        <v>0</v>
      </c>
      <c r="C13" s="6">
        <v>0</v>
      </c>
      <c r="D13" s="6">
        <v>0</v>
      </c>
      <c r="E13" s="6">
        <v>0</v>
      </c>
      <c r="F13" s="6">
        <v>0.75</v>
      </c>
      <c r="G13" s="6">
        <v>1</v>
      </c>
      <c r="H13" s="6">
        <v>0.75</v>
      </c>
      <c r="I13" s="6">
        <v>0</v>
      </c>
      <c r="J13" s="6">
        <v>0</v>
      </c>
      <c r="K13">
        <f t="shared" si="0"/>
        <v>2.5</v>
      </c>
    </row>
    <row r="14" spans="1:11" ht="15" thickBot="1">
      <c r="A14" s="3" t="s">
        <v>15</v>
      </c>
      <c r="B14" s="4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>
        <f t="shared" si="0"/>
        <v>0</v>
      </c>
    </row>
    <row r="15" spans="1:11" ht="30.75" thickBot="1">
      <c r="A15" s="5" t="s">
        <v>16</v>
      </c>
      <c r="B15" s="4">
        <f>+B13-B14</f>
        <v>0</v>
      </c>
      <c r="C15" s="6">
        <f aca="true" t="shared" si="3" ref="C15:J15">+C13-C14</f>
        <v>0</v>
      </c>
      <c r="D15" s="6">
        <f t="shared" si="3"/>
        <v>0</v>
      </c>
      <c r="E15" s="6">
        <f t="shared" si="3"/>
        <v>0</v>
      </c>
      <c r="F15" s="6">
        <f t="shared" si="3"/>
        <v>0.75</v>
      </c>
      <c r="G15" s="6">
        <f t="shared" si="3"/>
        <v>1</v>
      </c>
      <c r="H15" s="6">
        <f t="shared" si="3"/>
        <v>0.75</v>
      </c>
      <c r="I15" s="6">
        <f t="shared" si="3"/>
        <v>0</v>
      </c>
      <c r="J15" s="6">
        <f t="shared" si="3"/>
        <v>0</v>
      </c>
      <c r="K15">
        <f t="shared" si="0"/>
        <v>2.5</v>
      </c>
    </row>
    <row r="16" spans="1:11" ht="15" thickBot="1">
      <c r="A16" s="3" t="s">
        <v>17</v>
      </c>
      <c r="B16" s="4">
        <f>+B8-B12+B15</f>
        <v>0</v>
      </c>
      <c r="C16" s="6">
        <f aca="true" t="shared" si="4" ref="C16:J16">+C8-C12+C15</f>
        <v>162.75</v>
      </c>
      <c r="D16" s="6">
        <f t="shared" si="4"/>
        <v>836.4</v>
      </c>
      <c r="E16" s="6">
        <f t="shared" si="4"/>
        <v>2154.3</v>
      </c>
      <c r="F16" s="6">
        <f t="shared" si="4"/>
        <v>2819.65</v>
      </c>
      <c r="G16" s="6">
        <f t="shared" si="4"/>
        <v>1125.2</v>
      </c>
      <c r="H16" s="6">
        <f t="shared" si="4"/>
        <v>525.5</v>
      </c>
      <c r="I16" s="6">
        <f t="shared" si="4"/>
        <v>113.5</v>
      </c>
      <c r="J16" s="6">
        <f t="shared" si="4"/>
        <v>15</v>
      </c>
      <c r="K16">
        <f t="shared" si="0"/>
        <v>7752.3</v>
      </c>
    </row>
    <row r="17" spans="1:11" ht="30.75" thickBot="1">
      <c r="A17" s="5" t="s">
        <v>18</v>
      </c>
      <c r="B17" s="4">
        <f>ROUND(B16/9*5,2)</f>
        <v>0</v>
      </c>
      <c r="C17" s="6">
        <f>ROUND(C16/9*6,2)</f>
        <v>108.5</v>
      </c>
      <c r="D17" s="6">
        <f>ROUND(D16/9*7,2)</f>
        <v>650.53</v>
      </c>
      <c r="E17" s="6">
        <f>ROUND(E16/9*8,2)</f>
        <v>1914.93</v>
      </c>
      <c r="F17" s="6">
        <f>ROUND(F16,2)</f>
        <v>2819.65</v>
      </c>
      <c r="G17" s="6">
        <f>ROUND(G16/9*11,2)</f>
        <v>1375.24</v>
      </c>
      <c r="H17" s="6">
        <f>ROUND(H16/9*13,2)</f>
        <v>759.06</v>
      </c>
      <c r="I17" s="6">
        <f>ROUND(I16/9*15,2)</f>
        <v>189.17</v>
      </c>
      <c r="J17" s="6">
        <f>ROUND(J16/9*18,2)</f>
        <v>30</v>
      </c>
      <c r="K17">
        <f>SUM(B17:J17)</f>
        <v>7847.08</v>
      </c>
    </row>
    <row r="19" ht="13.5" thickBot="1"/>
    <row r="20" spans="3:8" ht="18" customHeight="1" thickBot="1">
      <c r="C20" s="28" t="s">
        <v>25</v>
      </c>
      <c r="D20" s="29"/>
      <c r="E20" s="29"/>
      <c r="F20" s="29"/>
      <c r="G20" s="29"/>
      <c r="H20" s="30"/>
    </row>
    <row r="21" spans="3:8" ht="17.25" customHeight="1">
      <c r="C21" s="31" t="s">
        <v>26</v>
      </c>
      <c r="D21" s="32"/>
      <c r="E21" s="32"/>
      <c r="F21" s="33">
        <f>+K17</f>
        <v>7847.08</v>
      </c>
      <c r="G21" s="34"/>
      <c r="H21" s="35"/>
    </row>
    <row r="22" spans="3:8" ht="17.25" customHeight="1">
      <c r="C22" s="21" t="s">
        <v>27</v>
      </c>
      <c r="D22" s="22"/>
      <c r="E22" s="22"/>
      <c r="F22" s="13">
        <v>0.995</v>
      </c>
      <c r="G22" s="13"/>
      <c r="H22" s="14"/>
    </row>
    <row r="23" spans="3:8" ht="17.25" customHeight="1">
      <c r="C23" s="21" t="s">
        <v>28</v>
      </c>
      <c r="D23" s="22"/>
      <c r="E23" s="22"/>
      <c r="F23" s="15">
        <f>ROUND(F21*F22,2)</f>
        <v>7807.84</v>
      </c>
      <c r="G23" s="16"/>
      <c r="H23" s="17"/>
    </row>
    <row r="24" spans="3:8" ht="17.25" customHeight="1">
      <c r="C24" s="21" t="s">
        <v>29</v>
      </c>
      <c r="D24" s="22"/>
      <c r="E24" s="22"/>
      <c r="F24" s="15">
        <v>6.78</v>
      </c>
      <c r="G24" s="16"/>
      <c r="H24" s="17"/>
    </row>
    <row r="25" spans="3:8" ht="17.25" customHeight="1" thickBot="1">
      <c r="C25" s="23" t="s">
        <v>30</v>
      </c>
      <c r="D25" s="24"/>
      <c r="E25" s="24"/>
      <c r="F25" s="18">
        <f>SUM(F23:H24)</f>
        <v>7814.62</v>
      </c>
      <c r="G25" s="19"/>
      <c r="H25" s="20"/>
    </row>
  </sheetData>
  <mergeCells count="12">
    <mergeCell ref="B2:J2"/>
    <mergeCell ref="C20:H20"/>
    <mergeCell ref="C21:E21"/>
    <mergeCell ref="F21:H21"/>
    <mergeCell ref="C22:E22"/>
    <mergeCell ref="C23:E23"/>
    <mergeCell ref="C24:E24"/>
    <mergeCell ref="C25:E25"/>
    <mergeCell ref="F22:H22"/>
    <mergeCell ref="F23:H23"/>
    <mergeCell ref="F24:H24"/>
    <mergeCell ref="F25:H25"/>
  </mergeCells>
  <printOptions/>
  <pageMargins left="1.9291338582677167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7">
      <selection activeCell="D28" sqref="D28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4" width="8.421875" style="0" bestFit="1" customWidth="1"/>
    <col min="5" max="6" width="9.00390625" style="0" bestFit="1" customWidth="1"/>
    <col min="7" max="10" width="9.28125" style="0" bestFit="1" customWidth="1"/>
    <col min="11" max="11" width="8.00390625" style="0" hidden="1" customWidth="1"/>
  </cols>
  <sheetData>
    <row r="1" ht="13.5" thickBot="1"/>
    <row r="2" spans="1:10" s="10" customFormat="1" ht="36.75" customHeight="1" thickBot="1">
      <c r="A2" s="9" t="s">
        <v>23</v>
      </c>
      <c r="B2" s="25" t="s">
        <v>33</v>
      </c>
      <c r="C2" s="26"/>
      <c r="D2" s="26"/>
      <c r="E2" s="26"/>
      <c r="F2" s="26"/>
      <c r="G2" s="26"/>
      <c r="H2" s="26"/>
      <c r="I2" s="26"/>
      <c r="J2" s="27"/>
    </row>
    <row r="3" ht="13.5" thickBot="1"/>
    <row r="4" spans="1:10" ht="36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20</v>
      </c>
      <c r="I4" s="2" t="s">
        <v>21</v>
      </c>
      <c r="J4" s="2" t="s">
        <v>22</v>
      </c>
    </row>
    <row r="5" spans="1:11" ht="15" thickBot="1">
      <c r="A5" s="3" t="s">
        <v>6</v>
      </c>
      <c r="B5" s="4">
        <v>0</v>
      </c>
      <c r="C5" s="6">
        <f>139-2-0</f>
        <v>137</v>
      </c>
      <c r="D5" s="6">
        <f>456-0-0</f>
        <v>456</v>
      </c>
      <c r="E5" s="6">
        <f>1244-0-1</f>
        <v>1243</v>
      </c>
      <c r="F5" s="6">
        <f>2204-0-4</f>
        <v>2200</v>
      </c>
      <c r="G5" s="6">
        <f>1273-0-5</f>
        <v>1268</v>
      </c>
      <c r="H5" s="6">
        <f>1051-0-4</f>
        <v>1047</v>
      </c>
      <c r="I5" s="6">
        <f>1597-2-8</f>
        <v>1587</v>
      </c>
      <c r="J5" s="6">
        <f>713-1-13</f>
        <v>699</v>
      </c>
      <c r="K5">
        <f aca="true" t="shared" si="0" ref="K5:K16">SUM(B5:J5)</f>
        <v>8637</v>
      </c>
    </row>
    <row r="6" spans="1:11" ht="15" thickBot="1">
      <c r="A6" s="3" t="s">
        <v>7</v>
      </c>
      <c r="B6" s="4">
        <v>0</v>
      </c>
      <c r="C6" s="6">
        <v>19</v>
      </c>
      <c r="D6" s="6">
        <v>17</v>
      </c>
      <c r="E6" s="6">
        <v>41</v>
      </c>
      <c r="F6" s="6">
        <v>78</v>
      </c>
      <c r="G6" s="6">
        <v>34</v>
      </c>
      <c r="H6" s="6">
        <v>97</v>
      </c>
      <c r="I6" s="6">
        <v>87</v>
      </c>
      <c r="J6" s="6">
        <v>33</v>
      </c>
      <c r="K6">
        <f t="shared" si="0"/>
        <v>406</v>
      </c>
    </row>
    <row r="7" spans="1:11" ht="15" thickBot="1">
      <c r="A7" s="3" t="s">
        <v>8</v>
      </c>
      <c r="B7" s="4">
        <v>0</v>
      </c>
      <c r="C7" s="6">
        <v>0</v>
      </c>
      <c r="D7" s="6">
        <v>1</v>
      </c>
      <c r="E7" s="6">
        <v>4</v>
      </c>
      <c r="F7" s="6">
        <v>5</v>
      </c>
      <c r="G7" s="6">
        <v>4</v>
      </c>
      <c r="H7" s="6">
        <v>8</v>
      </c>
      <c r="I7" s="6">
        <v>13</v>
      </c>
      <c r="J7" s="6">
        <v>0</v>
      </c>
      <c r="K7">
        <f t="shared" si="0"/>
        <v>35</v>
      </c>
    </row>
    <row r="8" spans="1:12" ht="30.75" thickBot="1">
      <c r="A8" s="5" t="s">
        <v>9</v>
      </c>
      <c r="B8" s="4">
        <f>SUM(B5:B7)</f>
        <v>0</v>
      </c>
      <c r="C8" s="6">
        <f>+C5-C6+C7</f>
        <v>118</v>
      </c>
      <c r="D8" s="6">
        <f aca="true" t="shared" si="1" ref="D8:J8">+D5-D6+D7</f>
        <v>440</v>
      </c>
      <c r="E8" s="6">
        <f t="shared" si="1"/>
        <v>1206</v>
      </c>
      <c r="F8" s="6">
        <f t="shared" si="1"/>
        <v>2127</v>
      </c>
      <c r="G8" s="6">
        <f t="shared" si="1"/>
        <v>1238</v>
      </c>
      <c r="H8" s="6">
        <f t="shared" si="1"/>
        <v>958</v>
      </c>
      <c r="I8" s="6">
        <f t="shared" si="1"/>
        <v>1513</v>
      </c>
      <c r="J8" s="6">
        <f t="shared" si="1"/>
        <v>666</v>
      </c>
      <c r="K8">
        <f t="shared" si="0"/>
        <v>8266</v>
      </c>
      <c r="L8" s="11"/>
    </row>
    <row r="9" spans="1:11" ht="15" thickBot="1">
      <c r="A9" s="3" t="s">
        <v>10</v>
      </c>
      <c r="B9" s="4">
        <v>0</v>
      </c>
      <c r="C9" s="6">
        <v>0</v>
      </c>
      <c r="D9" s="6">
        <v>11</v>
      </c>
      <c r="E9" s="6">
        <v>7</v>
      </c>
      <c r="F9" s="6">
        <v>8</v>
      </c>
      <c r="G9" s="6">
        <v>16</v>
      </c>
      <c r="H9" s="6">
        <v>6</v>
      </c>
      <c r="I9" s="6">
        <v>13</v>
      </c>
      <c r="J9" s="6">
        <v>4</v>
      </c>
      <c r="K9">
        <f t="shared" si="0"/>
        <v>65</v>
      </c>
    </row>
    <row r="10" spans="1:11" ht="15" thickBot="1">
      <c r="A10" s="3" t="s">
        <v>11</v>
      </c>
      <c r="B10" s="4">
        <v>0</v>
      </c>
      <c r="C10" s="6">
        <v>76</v>
      </c>
      <c r="D10" s="6">
        <f>324+1</f>
        <v>325</v>
      </c>
      <c r="E10" s="6">
        <f>597+4</f>
        <v>601</v>
      </c>
      <c r="F10" s="6">
        <f>764+18</f>
        <v>782</v>
      </c>
      <c r="G10" s="6">
        <f>406+4</f>
        <v>410</v>
      </c>
      <c r="H10" s="6">
        <f>214+3</f>
        <v>217</v>
      </c>
      <c r="I10" s="6">
        <f>234+6</f>
        <v>240</v>
      </c>
      <c r="J10" s="6">
        <f>47+2</f>
        <v>49</v>
      </c>
      <c r="K10">
        <f t="shared" si="0"/>
        <v>2700</v>
      </c>
    </row>
    <row r="11" spans="1:11" ht="15" thickBot="1">
      <c r="A11" s="3" t="s">
        <v>12</v>
      </c>
      <c r="B11" s="4">
        <v>0</v>
      </c>
      <c r="C11" s="6">
        <v>0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9</v>
      </c>
      <c r="J11" s="6">
        <v>0</v>
      </c>
      <c r="K11">
        <f t="shared" si="0"/>
        <v>11</v>
      </c>
    </row>
    <row r="12" spans="1:11" ht="30.75" thickBot="1">
      <c r="A12" s="5" t="s">
        <v>13</v>
      </c>
      <c r="B12" s="4">
        <f>(B9*0.1)+(B10*0.25)+(B11*0.5)</f>
        <v>0</v>
      </c>
      <c r="C12" s="6">
        <f aca="true" t="shared" si="2" ref="C12:J12">(C9*0.1)+(C10*0.25)+(C11*0.5)</f>
        <v>19</v>
      </c>
      <c r="D12" s="6">
        <f t="shared" si="2"/>
        <v>82.35</v>
      </c>
      <c r="E12" s="6">
        <f t="shared" si="2"/>
        <v>150.95</v>
      </c>
      <c r="F12" s="6">
        <f t="shared" si="2"/>
        <v>197.3</v>
      </c>
      <c r="G12" s="6">
        <f t="shared" si="2"/>
        <v>104.1</v>
      </c>
      <c r="H12" s="6">
        <f t="shared" si="2"/>
        <v>54.85</v>
      </c>
      <c r="I12" s="6">
        <f t="shared" si="2"/>
        <v>65.8</v>
      </c>
      <c r="J12" s="6">
        <f t="shared" si="2"/>
        <v>12.65</v>
      </c>
      <c r="K12">
        <f t="shared" si="0"/>
        <v>687</v>
      </c>
    </row>
    <row r="13" spans="1:11" ht="15" thickBot="1">
      <c r="A13" s="3" t="s">
        <v>14</v>
      </c>
      <c r="B13" s="4">
        <v>0</v>
      </c>
      <c r="C13" s="6">
        <v>0</v>
      </c>
      <c r="D13" s="6">
        <v>0</v>
      </c>
      <c r="E13" s="6">
        <v>14.65</v>
      </c>
      <c r="F13" s="6">
        <v>10.4</v>
      </c>
      <c r="G13" s="6">
        <v>32.75</v>
      </c>
      <c r="H13" s="6">
        <v>19.15</v>
      </c>
      <c r="I13" s="6">
        <v>3.5</v>
      </c>
      <c r="J13" s="6">
        <v>7.9</v>
      </c>
      <c r="K13">
        <f t="shared" si="0"/>
        <v>88.35</v>
      </c>
    </row>
    <row r="14" spans="1:11" ht="15" thickBot="1">
      <c r="A14" s="3" t="s">
        <v>15</v>
      </c>
      <c r="B14" s="4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>
        <f t="shared" si="0"/>
        <v>0</v>
      </c>
    </row>
    <row r="15" spans="1:11" ht="30.75" thickBot="1">
      <c r="A15" s="5" t="s">
        <v>16</v>
      </c>
      <c r="B15" s="4">
        <f>+B13-B14</f>
        <v>0</v>
      </c>
      <c r="C15" s="6">
        <f aca="true" t="shared" si="3" ref="C15:J15">+C13-C14</f>
        <v>0</v>
      </c>
      <c r="D15" s="6">
        <f t="shared" si="3"/>
        <v>0</v>
      </c>
      <c r="E15" s="6">
        <f t="shared" si="3"/>
        <v>14.65</v>
      </c>
      <c r="F15" s="6">
        <f t="shared" si="3"/>
        <v>10.4</v>
      </c>
      <c r="G15" s="6">
        <f t="shared" si="3"/>
        <v>32.75</v>
      </c>
      <c r="H15" s="6">
        <f t="shared" si="3"/>
        <v>19.15</v>
      </c>
      <c r="I15" s="6">
        <f t="shared" si="3"/>
        <v>3.5</v>
      </c>
      <c r="J15" s="6">
        <f t="shared" si="3"/>
        <v>7.9</v>
      </c>
      <c r="K15">
        <f t="shared" si="0"/>
        <v>88.35</v>
      </c>
    </row>
    <row r="16" spans="1:11" ht="15" thickBot="1">
      <c r="A16" s="3" t="s">
        <v>17</v>
      </c>
      <c r="B16" s="4">
        <f>+B8-B12+B15</f>
        <v>0</v>
      </c>
      <c r="C16" s="6">
        <f aca="true" t="shared" si="4" ref="C16:J16">+C8-C12+C15</f>
        <v>99</v>
      </c>
      <c r="D16" s="6">
        <f t="shared" si="4"/>
        <v>357.65</v>
      </c>
      <c r="E16" s="6">
        <f t="shared" si="4"/>
        <v>1069.7</v>
      </c>
      <c r="F16" s="6">
        <f t="shared" si="4"/>
        <v>1940.1000000000001</v>
      </c>
      <c r="G16" s="6">
        <f t="shared" si="4"/>
        <v>1166.65</v>
      </c>
      <c r="H16" s="6">
        <f t="shared" si="4"/>
        <v>922.3</v>
      </c>
      <c r="I16" s="6">
        <f t="shared" si="4"/>
        <v>1450.7</v>
      </c>
      <c r="J16" s="6">
        <f t="shared" si="4"/>
        <v>661.25</v>
      </c>
      <c r="K16">
        <f t="shared" si="0"/>
        <v>7667.35</v>
      </c>
    </row>
    <row r="17" spans="1:11" ht="30.75" thickBot="1">
      <c r="A17" s="5" t="s">
        <v>18</v>
      </c>
      <c r="B17" s="4">
        <f>ROUND(B16/9*5,2)</f>
        <v>0</v>
      </c>
      <c r="C17" s="6">
        <f>ROUND(C16/9*6,2)</f>
        <v>66</v>
      </c>
      <c r="D17" s="6">
        <f>ROUND(D16/9*7,2)</f>
        <v>278.17</v>
      </c>
      <c r="E17" s="6">
        <f>ROUND(E16/9*8,2)</f>
        <v>950.84</v>
      </c>
      <c r="F17" s="6">
        <f>ROUND(F16,2)</f>
        <v>1940.1</v>
      </c>
      <c r="G17" s="6">
        <f>ROUND(G16/9*11,2)</f>
        <v>1425.91</v>
      </c>
      <c r="H17" s="6">
        <f>ROUND(H16/9*13,2)</f>
        <v>1332.21</v>
      </c>
      <c r="I17" s="6">
        <f>ROUND(I16/9*15,2)</f>
        <v>2417.83</v>
      </c>
      <c r="J17" s="6">
        <f>ROUND(J16/9*18,2)</f>
        <v>1322.5</v>
      </c>
      <c r="K17">
        <f>SUM(B17:J17)</f>
        <v>9733.56</v>
      </c>
    </row>
    <row r="19" ht="13.5" thickBot="1"/>
    <row r="20" spans="3:8" ht="18" customHeight="1" thickBot="1">
      <c r="C20" s="28" t="s">
        <v>25</v>
      </c>
      <c r="D20" s="29"/>
      <c r="E20" s="29"/>
      <c r="F20" s="29"/>
      <c r="G20" s="29"/>
      <c r="H20" s="30"/>
    </row>
    <row r="21" spans="3:8" ht="17.25" customHeight="1">
      <c r="C21" s="31" t="s">
        <v>26</v>
      </c>
      <c r="D21" s="32"/>
      <c r="E21" s="32"/>
      <c r="F21" s="33">
        <f>+K17</f>
        <v>9733.56</v>
      </c>
      <c r="G21" s="34"/>
      <c r="H21" s="35"/>
    </row>
    <row r="22" spans="3:8" ht="17.25" customHeight="1">
      <c r="C22" s="21" t="s">
        <v>27</v>
      </c>
      <c r="D22" s="22"/>
      <c r="E22" s="22"/>
      <c r="F22" s="13">
        <v>0.995</v>
      </c>
      <c r="G22" s="13"/>
      <c r="H22" s="14"/>
    </row>
    <row r="23" spans="3:8" ht="17.25" customHeight="1">
      <c r="C23" s="21" t="s">
        <v>28</v>
      </c>
      <c r="D23" s="22"/>
      <c r="E23" s="22"/>
      <c r="F23" s="36">
        <f>ROUND(F21*F22,2)</f>
        <v>9684.89</v>
      </c>
      <c r="G23" s="37"/>
      <c r="H23" s="38"/>
    </row>
    <row r="24" spans="3:8" ht="17.25" customHeight="1">
      <c r="C24" s="21" t="s">
        <v>29</v>
      </c>
      <c r="D24" s="22"/>
      <c r="E24" s="22"/>
      <c r="F24" s="36">
        <v>177.22</v>
      </c>
      <c r="G24" s="37"/>
      <c r="H24" s="38"/>
    </row>
    <row r="25" spans="3:8" ht="17.25" customHeight="1" thickBot="1">
      <c r="C25" s="23" t="s">
        <v>30</v>
      </c>
      <c r="D25" s="24"/>
      <c r="E25" s="24"/>
      <c r="F25" s="39">
        <f>SUM(F23:H24)</f>
        <v>9862.109999999999</v>
      </c>
      <c r="G25" s="40"/>
      <c r="H25" s="41"/>
    </row>
  </sheetData>
  <mergeCells count="12">
    <mergeCell ref="B2:J2"/>
    <mergeCell ref="C20:H20"/>
    <mergeCell ref="C21:E21"/>
    <mergeCell ref="F21:H21"/>
    <mergeCell ref="C22:E22"/>
    <mergeCell ref="C23:E23"/>
    <mergeCell ref="C24:E24"/>
    <mergeCell ref="C25:E25"/>
    <mergeCell ref="F22:H22"/>
    <mergeCell ref="F23:H23"/>
    <mergeCell ref="F24:H24"/>
    <mergeCell ref="F25:H25"/>
  </mergeCells>
  <printOptions/>
  <pageMargins left="1.9291338582677167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L13" sqref="L13"/>
    </sheetView>
  </sheetViews>
  <sheetFormatPr defaultColWidth="9.140625" defaultRowHeight="12.75"/>
  <cols>
    <col min="1" max="1" width="17.421875" style="0" customWidth="1"/>
    <col min="2" max="2" width="12.8515625" style="0" customWidth="1"/>
    <col min="3" max="3" width="8.421875" style="0" bestFit="1" customWidth="1"/>
    <col min="4" max="6" width="9.00390625" style="0" bestFit="1" customWidth="1"/>
    <col min="10" max="10" width="9.00390625" style="0" bestFit="1" customWidth="1"/>
    <col min="11" max="11" width="10.140625" style="0" customWidth="1"/>
  </cols>
  <sheetData>
    <row r="1" ht="13.5" thickBot="1"/>
    <row r="2" spans="1:11" s="10" customFormat="1" ht="36.75" customHeight="1" thickBot="1">
      <c r="A2" s="12" t="s">
        <v>23</v>
      </c>
      <c r="B2" s="25" t="s">
        <v>36</v>
      </c>
      <c r="C2" s="26"/>
      <c r="D2" s="26"/>
      <c r="E2" s="26"/>
      <c r="F2" s="26"/>
      <c r="G2" s="26"/>
      <c r="H2" s="26"/>
      <c r="I2" s="26"/>
      <c r="J2" s="26"/>
      <c r="K2" s="27"/>
    </row>
    <row r="3" ht="13.5" thickBot="1"/>
    <row r="4" spans="1:11" ht="36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37</v>
      </c>
    </row>
    <row r="5" spans="1:11" ht="15" thickBot="1">
      <c r="A5" s="3" t="s">
        <v>6</v>
      </c>
      <c r="B5" s="6">
        <f>+'AL'!B5+'CW'!B5+'CG'!B5+UP!B5+S!B5+WR!B5</f>
        <v>0</v>
      </c>
      <c r="C5" s="6">
        <f>+'AL'!C5+'CW'!C5+'CG'!C5+UP!C5+S!C5+WR!C5</f>
        <v>750</v>
      </c>
      <c r="D5" s="6">
        <f>+'AL'!D5+'CW'!D5+'CG'!D5+UP!D5+S!D5+WR!D5</f>
        <v>2004</v>
      </c>
      <c r="E5" s="6">
        <f>+'AL'!E5+'CW'!E5+'CG'!E5+UP!E5+S!E5+WR!E5</f>
        <v>6155</v>
      </c>
      <c r="F5" s="6">
        <f>+'AL'!F5+'CW'!F5+'CG'!F5+UP!F5+S!F5+WR!F5</f>
        <v>9473</v>
      </c>
      <c r="G5" s="6">
        <f>+'AL'!G5+'CW'!G5+'CG'!G5+UP!G5+S!G5+WR!G5</f>
        <v>7073</v>
      </c>
      <c r="H5" s="6">
        <f>+'AL'!H5+'CW'!H5+'CG'!H5+UP!H5+S!H5+WR!H5</f>
        <v>3863</v>
      </c>
      <c r="I5" s="6">
        <f>+'AL'!I5+'CW'!I5+'CG'!I5+UP!I5+S!I5+WR!I5</f>
        <v>4846</v>
      </c>
      <c r="J5" s="6">
        <f>+'AL'!J5+'CW'!J5+'CG'!J5+UP!J5+S!J5+WR!J5</f>
        <v>1320</v>
      </c>
      <c r="K5" s="6">
        <f aca="true" t="shared" si="0" ref="K5:K14">SUM(B5:J5)</f>
        <v>35484</v>
      </c>
    </row>
    <row r="6" spans="1:11" ht="15" thickBot="1">
      <c r="A6" s="3" t="s">
        <v>7</v>
      </c>
      <c r="B6" s="6">
        <f>+'AL'!B6+'CW'!B6+'CG'!B6+UP!B6+S!B6+WR!B6</f>
        <v>0</v>
      </c>
      <c r="C6" s="6">
        <f>+'AL'!C6+'CW'!C6+'CG'!C6+UP!C6+S!C6+WR!C6</f>
        <v>52</v>
      </c>
      <c r="D6" s="6">
        <f>+'AL'!D6+'CW'!D6+'CG'!D6+UP!D6+S!D6+WR!D6</f>
        <v>67</v>
      </c>
      <c r="E6" s="6">
        <f>+'AL'!E6+'CW'!E6+'CG'!E6+UP!E6+S!E6+WR!E6</f>
        <v>172</v>
      </c>
      <c r="F6" s="6">
        <f>+'AL'!F6+'CW'!F6+'CG'!F6+UP!F6+S!F6+WR!F6</f>
        <v>190</v>
      </c>
      <c r="G6" s="6">
        <f>+'AL'!G6+'CW'!G6+'CG'!G6+UP!G6+S!G6+WR!G6</f>
        <v>116</v>
      </c>
      <c r="H6" s="6">
        <f>+'AL'!H6+'CW'!H6+'CG'!H6+UP!H6+S!H6+WR!H6</f>
        <v>140</v>
      </c>
      <c r="I6" s="6">
        <f>+'AL'!I6+'CW'!I6+'CG'!I6+UP!I6+S!I6+WR!I6</f>
        <v>135</v>
      </c>
      <c r="J6" s="6">
        <f>+'AL'!J6+'CW'!J6+'CG'!J6+UP!J6+S!J6+WR!J6</f>
        <v>46</v>
      </c>
      <c r="K6" s="6">
        <f t="shared" si="0"/>
        <v>918</v>
      </c>
    </row>
    <row r="7" spans="1:11" ht="15" thickBot="1">
      <c r="A7" s="3" t="s">
        <v>8</v>
      </c>
      <c r="B7" s="6">
        <f>+'AL'!B7+'CW'!B7+'CG'!B7+UP!B7+S!B7+WR!B7</f>
        <v>1</v>
      </c>
      <c r="C7" s="6">
        <f>+'AL'!C7+'CW'!C7+'CG'!C7+UP!C7+S!C7+WR!C7</f>
        <v>5</v>
      </c>
      <c r="D7" s="6">
        <f>+'AL'!D7+'CW'!D7+'CG'!D7+UP!D7+S!D7+WR!D7</f>
        <v>13</v>
      </c>
      <c r="E7" s="6">
        <f>+'AL'!E7+'CW'!E7+'CG'!E7+UP!E7+S!E7+WR!E7</f>
        <v>33</v>
      </c>
      <c r="F7" s="6">
        <f>+'AL'!F7+'CW'!F7+'CG'!F7+UP!F7+S!F7+WR!F7</f>
        <v>35</v>
      </c>
      <c r="G7" s="6">
        <f>+'AL'!G7+'CW'!G7+'CG'!G7+UP!G7+S!G7+WR!G7</f>
        <v>22</v>
      </c>
      <c r="H7" s="6">
        <f>+'AL'!H7+'CW'!H7+'CG'!H7+UP!H7+S!H7+WR!H7</f>
        <v>28</v>
      </c>
      <c r="I7" s="6">
        <f>+'AL'!I7+'CW'!I7+'CG'!I7+UP!I7+S!I7+WR!I7</f>
        <v>21</v>
      </c>
      <c r="J7" s="6">
        <f>+'AL'!J7+'CW'!J7+'CG'!J7+UP!J7+S!J7+WR!J7</f>
        <v>0</v>
      </c>
      <c r="K7" s="6">
        <f t="shared" si="0"/>
        <v>158</v>
      </c>
    </row>
    <row r="8" spans="1:11" ht="30.75" thickBot="1">
      <c r="A8" s="5" t="s">
        <v>9</v>
      </c>
      <c r="B8" s="6">
        <f>+B5-B6+B7</f>
        <v>1</v>
      </c>
      <c r="C8" s="6">
        <f>+C5-C6+C7</f>
        <v>703</v>
      </c>
      <c r="D8" s="6">
        <f aca="true" t="shared" si="1" ref="D8:K8">+D5-D6+D7</f>
        <v>1950</v>
      </c>
      <c r="E8" s="6">
        <f t="shared" si="1"/>
        <v>6016</v>
      </c>
      <c r="F8" s="6">
        <f t="shared" si="1"/>
        <v>9318</v>
      </c>
      <c r="G8" s="6">
        <f t="shared" si="1"/>
        <v>6979</v>
      </c>
      <c r="H8" s="6">
        <f t="shared" si="1"/>
        <v>3751</v>
      </c>
      <c r="I8" s="6">
        <f t="shared" si="1"/>
        <v>4732</v>
      </c>
      <c r="J8" s="6">
        <f t="shared" si="1"/>
        <v>1274</v>
      </c>
      <c r="K8" s="6">
        <f t="shared" si="1"/>
        <v>34724</v>
      </c>
    </row>
    <row r="9" spans="1:11" ht="15" thickBot="1">
      <c r="A9" s="3" t="s">
        <v>10</v>
      </c>
      <c r="B9" s="6">
        <f>+'AL'!B9+'CW'!B9+'CG'!B9+UP!B9+S!B9+WR!B9</f>
        <v>0</v>
      </c>
      <c r="C9" s="6">
        <f>+'AL'!C9+'CW'!C9+'CG'!C9+UP!C9+S!C9+WR!C9</f>
        <v>4</v>
      </c>
      <c r="D9" s="6">
        <f>+'AL'!D9+'CW'!D9+'CG'!D9+UP!D9+S!D9+WR!D9</f>
        <v>21</v>
      </c>
      <c r="E9" s="6">
        <f>+'AL'!E9+'CW'!E9+'CG'!E9+UP!E9+S!E9+WR!E9</f>
        <v>36</v>
      </c>
      <c r="F9" s="6">
        <f>+'AL'!F9+'CW'!F9+'CG'!F9+UP!F9+S!F9+WR!F9</f>
        <v>24</v>
      </c>
      <c r="G9" s="6">
        <f>+'AL'!G9+'CW'!G9+'CG'!G9+UP!G9+S!G9+WR!G9</f>
        <v>36</v>
      </c>
      <c r="H9" s="6">
        <f>+'AL'!H9+'CW'!H9+'CG'!H9+UP!H9+S!H9+WR!H9</f>
        <v>9</v>
      </c>
      <c r="I9" s="6">
        <f>+'AL'!I9+'CW'!I9+'CG'!I9+UP!I9+S!I9+WR!I9</f>
        <v>24</v>
      </c>
      <c r="J9" s="6">
        <f>+'AL'!J9+'CW'!J9+'CG'!J9+UP!J9+S!J9+WR!J9</f>
        <v>7</v>
      </c>
      <c r="K9" s="6">
        <f t="shared" si="0"/>
        <v>161</v>
      </c>
    </row>
    <row r="10" spans="1:11" ht="15" thickBot="1">
      <c r="A10" s="3" t="s">
        <v>11</v>
      </c>
      <c r="B10" s="6">
        <f>+'AL'!B10+'CW'!B10+'CG'!B10+UP!B10+S!B10+WR!B10</f>
        <v>1</v>
      </c>
      <c r="C10" s="6">
        <f>+'AL'!C10+'CW'!C10+'CG'!C10+UP!C10+S!C10+WR!C10</f>
        <v>418</v>
      </c>
      <c r="D10" s="6">
        <f>+'AL'!D10+'CW'!D10+'CG'!D10+UP!D10+S!D10+WR!D10</f>
        <v>1461</v>
      </c>
      <c r="E10" s="6">
        <f>+'AL'!E10+'CW'!E10+'CG'!E10+UP!E10+S!E10+WR!E10</f>
        <v>2966</v>
      </c>
      <c r="F10" s="6">
        <f>+'AL'!F10+'CW'!F10+'CG'!F10+UP!F10+S!F10+WR!F10</f>
        <v>3320</v>
      </c>
      <c r="G10" s="6">
        <f>+'AL'!G10+'CW'!G10+'CG'!G10+UP!G10+S!G10+WR!G10</f>
        <v>1863</v>
      </c>
      <c r="H10" s="6">
        <f>+'AL'!H10+'CW'!H10+'CG'!H10+UP!H10+S!H10+WR!H10</f>
        <v>807</v>
      </c>
      <c r="I10" s="6">
        <f>+'AL'!I10+'CW'!I10+'CG'!I10+UP!I10+S!I10+WR!I10</f>
        <v>719</v>
      </c>
      <c r="J10" s="6">
        <f>+'AL'!J10+'CW'!J10+'CG'!J10+UP!J10+S!J10+WR!J10</f>
        <v>97</v>
      </c>
      <c r="K10" s="6">
        <f t="shared" si="0"/>
        <v>11652</v>
      </c>
    </row>
    <row r="11" spans="1:11" ht="15" thickBot="1">
      <c r="A11" s="3" t="s">
        <v>12</v>
      </c>
      <c r="B11" s="6">
        <f>+'AL'!B11+'CW'!B11+'CG'!B11+UP!B11+S!B11+WR!B11</f>
        <v>0</v>
      </c>
      <c r="C11" s="6">
        <f>+'AL'!C11+'CW'!C11+'CG'!C11+UP!C11+S!C11+WR!C11</f>
        <v>6</v>
      </c>
      <c r="D11" s="6">
        <f>+'AL'!D11+'CW'!D11+'CG'!D11+UP!D11+S!D11+WR!D11</f>
        <v>0</v>
      </c>
      <c r="E11" s="6">
        <f>+'AL'!E11+'CW'!E11+'CG'!E11+UP!E11+S!E11+WR!E11</f>
        <v>3</v>
      </c>
      <c r="F11" s="6">
        <f>+'AL'!F11+'CW'!F11+'CG'!F11+UP!F11+S!F11+WR!F11</f>
        <v>3</v>
      </c>
      <c r="G11" s="6">
        <f>+'AL'!G11+'CW'!G11+'CG'!G11+UP!G11+S!G11+WR!G11</f>
        <v>4</v>
      </c>
      <c r="H11" s="6">
        <f>+'AL'!H11+'CW'!H11+'CG'!H11+UP!H11+S!H11+WR!H11</f>
        <v>4</v>
      </c>
      <c r="I11" s="6">
        <f>+'AL'!I11+'CW'!I11+'CG'!I11+UP!I11+S!I11+WR!I11</f>
        <v>20</v>
      </c>
      <c r="J11" s="6">
        <f>+'AL'!J11+'CW'!J11+'CG'!J11+UP!J11+S!J11+WR!J11</f>
        <v>4</v>
      </c>
      <c r="K11" s="6">
        <f t="shared" si="0"/>
        <v>44</v>
      </c>
    </row>
    <row r="12" spans="1:11" ht="30.75" thickBot="1">
      <c r="A12" s="5" t="s">
        <v>13</v>
      </c>
      <c r="B12" s="6">
        <f aca="true" t="shared" si="2" ref="B12:K12">(B9*0.1)+(B10*0.25)+(B11*0.5)</f>
        <v>0.25</v>
      </c>
      <c r="C12" s="6">
        <f t="shared" si="2"/>
        <v>107.9</v>
      </c>
      <c r="D12" s="6">
        <f t="shared" si="2"/>
        <v>367.35</v>
      </c>
      <c r="E12" s="6">
        <f t="shared" si="2"/>
        <v>746.6</v>
      </c>
      <c r="F12" s="6">
        <f t="shared" si="2"/>
        <v>833.9</v>
      </c>
      <c r="G12" s="6">
        <f t="shared" si="2"/>
        <v>471.35</v>
      </c>
      <c r="H12" s="6">
        <f t="shared" si="2"/>
        <v>204.65</v>
      </c>
      <c r="I12" s="6">
        <f t="shared" si="2"/>
        <v>192.15</v>
      </c>
      <c r="J12" s="6">
        <f t="shared" si="2"/>
        <v>26.95</v>
      </c>
      <c r="K12" s="6">
        <f t="shared" si="2"/>
        <v>2951.1</v>
      </c>
    </row>
    <row r="13" spans="1:11" ht="15" thickBot="1">
      <c r="A13" s="3" t="s">
        <v>14</v>
      </c>
      <c r="B13" s="6">
        <f>+'AL'!B13+'CW'!B13+'CG'!B13+UP!B13+S!B13+WR!B13</f>
        <v>0</v>
      </c>
      <c r="C13" s="6">
        <f>+'AL'!C13+'CW'!C13+'CG'!C13+UP!C13+S!C13+WR!C13</f>
        <v>0</v>
      </c>
      <c r="D13" s="6">
        <f>+'AL'!D13+'CW'!D13+'CG'!D13+UP!D13+S!D13+WR!D13</f>
        <v>8.75</v>
      </c>
      <c r="E13" s="6">
        <f>+'AL'!E13+'CW'!E13+'CG'!E13+UP!E13+S!E13+WR!E13</f>
        <v>26.4</v>
      </c>
      <c r="F13" s="6">
        <f>+'AL'!F13+'CW'!F13+'CG'!F13+UP!F13+S!F13+WR!F13</f>
        <v>41.73</v>
      </c>
      <c r="G13" s="6">
        <f>+'AL'!G13+'CW'!G13+'CG'!G13+UP!G13+S!G13+WR!G13</f>
        <v>48.05</v>
      </c>
      <c r="H13" s="6">
        <f>+'AL'!H13+'CW'!H13+'CG'!H13+UP!H13+S!H13+WR!H13</f>
        <v>35.8</v>
      </c>
      <c r="I13" s="6">
        <f>+'AL'!I13+'CW'!I13+'CG'!I13+UP!I13+S!I13+WR!I13</f>
        <v>8.23</v>
      </c>
      <c r="J13" s="6">
        <f>+'AL'!J13+'CW'!J13+'CG'!J13+UP!J13+S!J13+WR!J13</f>
        <v>14.4</v>
      </c>
      <c r="K13" s="6">
        <f t="shared" si="0"/>
        <v>183.35999999999999</v>
      </c>
    </row>
    <row r="14" spans="1:11" ht="15" thickBot="1">
      <c r="A14" s="3" t="s">
        <v>15</v>
      </c>
      <c r="B14" s="6">
        <f>+'AL'!B14+'CW'!B14+'CG'!B14+UP!B14+S!B14+WR!B14</f>
        <v>0</v>
      </c>
      <c r="C14" s="6">
        <f>+'AL'!C14+'CW'!C14+'CG'!C14+UP!C14+S!C14+WR!C14</f>
        <v>0</v>
      </c>
      <c r="D14" s="6">
        <f>+'AL'!D14+'CW'!D14+'CG'!D14+UP!D14+S!D14+WR!D14</f>
        <v>0</v>
      </c>
      <c r="E14" s="6">
        <f>+'AL'!E14+'CW'!E14+'CG'!E14+UP!E14+S!E14+WR!E14</f>
        <v>0</v>
      </c>
      <c r="F14" s="6">
        <f>+'AL'!F14+'CW'!F14+'CG'!F14+UP!F14+S!F14+WR!F14</f>
        <v>0</v>
      </c>
      <c r="G14" s="6">
        <f>+'AL'!G14+'CW'!G14+'CG'!G14+UP!G14+S!G14+WR!G14</f>
        <v>0</v>
      </c>
      <c r="H14" s="6">
        <f>+'AL'!H14+'CW'!H14+'CG'!H14+UP!H14+S!H14+WR!H14</f>
        <v>0</v>
      </c>
      <c r="I14" s="6">
        <f>+'AL'!I14+'CW'!I14+'CG'!I14+UP!I14+S!I14+WR!I14</f>
        <v>0</v>
      </c>
      <c r="J14" s="6">
        <f>+'AL'!J14+'CW'!J14+'CG'!J14+UP!J14+S!J14+WR!J14</f>
        <v>0</v>
      </c>
      <c r="K14" s="6">
        <f t="shared" si="0"/>
        <v>0</v>
      </c>
    </row>
    <row r="15" spans="1:11" ht="30.75" thickBot="1">
      <c r="A15" s="5" t="s">
        <v>16</v>
      </c>
      <c r="B15" s="6">
        <f aca="true" t="shared" si="3" ref="B15:K15">+B13-B14</f>
        <v>0</v>
      </c>
      <c r="C15" s="6">
        <f t="shared" si="3"/>
        <v>0</v>
      </c>
      <c r="D15" s="6">
        <f t="shared" si="3"/>
        <v>8.75</v>
      </c>
      <c r="E15" s="6">
        <f t="shared" si="3"/>
        <v>26.4</v>
      </c>
      <c r="F15" s="6">
        <f t="shared" si="3"/>
        <v>41.73</v>
      </c>
      <c r="G15" s="6">
        <f t="shared" si="3"/>
        <v>48.05</v>
      </c>
      <c r="H15" s="6">
        <f t="shared" si="3"/>
        <v>35.8</v>
      </c>
      <c r="I15" s="6">
        <f t="shared" si="3"/>
        <v>8.23</v>
      </c>
      <c r="J15" s="6">
        <f t="shared" si="3"/>
        <v>14.4</v>
      </c>
      <c r="K15" s="6">
        <f t="shared" si="3"/>
        <v>183.35999999999999</v>
      </c>
    </row>
    <row r="16" spans="1:11" ht="15" thickBot="1">
      <c r="A16" s="3" t="s">
        <v>17</v>
      </c>
      <c r="B16" s="6">
        <f>+'AL'!B16+'CW'!B16+'CG'!B16+UP!B16+S!B16+WR!B16</f>
        <v>0.75</v>
      </c>
      <c r="C16" s="6">
        <f aca="true" t="shared" si="4" ref="C16:K16">+C8-C12+C15</f>
        <v>595.1</v>
      </c>
      <c r="D16" s="6">
        <f t="shared" si="4"/>
        <v>1591.4</v>
      </c>
      <c r="E16" s="6">
        <f t="shared" si="4"/>
        <v>5295.799999999999</v>
      </c>
      <c r="F16" s="6">
        <f t="shared" si="4"/>
        <v>8525.83</v>
      </c>
      <c r="G16" s="6">
        <f t="shared" si="4"/>
        <v>6555.7</v>
      </c>
      <c r="H16" s="6">
        <f t="shared" si="4"/>
        <v>3582.15</v>
      </c>
      <c r="I16" s="6">
        <f t="shared" si="4"/>
        <v>4548.08</v>
      </c>
      <c r="J16" s="6">
        <f t="shared" si="4"/>
        <v>1261.45</v>
      </c>
      <c r="K16" s="6">
        <f t="shared" si="4"/>
        <v>31956.260000000002</v>
      </c>
    </row>
    <row r="17" spans="1:11" ht="30.75" thickBot="1">
      <c r="A17" s="5" t="s">
        <v>18</v>
      </c>
      <c r="B17" s="6">
        <f>ROUND(B16/9*5,2)</f>
        <v>0.42</v>
      </c>
      <c r="C17" s="6">
        <f>ROUND(C16/9*6,2)</f>
        <v>396.73</v>
      </c>
      <c r="D17" s="6">
        <f>ROUND(D16/9*7,2)-0.01</f>
        <v>1237.75</v>
      </c>
      <c r="E17" s="6">
        <f>ROUND(E16/9*8,2)-0.02</f>
        <v>4707.36</v>
      </c>
      <c r="F17" s="6">
        <f>ROUND(F16,2)</f>
        <v>8525.83</v>
      </c>
      <c r="G17" s="6">
        <f>ROUND(G16/9*11,2)</f>
        <v>8012.52</v>
      </c>
      <c r="H17" s="6">
        <f>ROUND(H16/9*13,2)</f>
        <v>5174.22</v>
      </c>
      <c r="I17" s="6">
        <f>ROUND(I16/9*15,2)+0.01</f>
        <v>7580.14</v>
      </c>
      <c r="J17" s="6">
        <f>ROUND(J16/9*18,2)</f>
        <v>2522.9</v>
      </c>
      <c r="K17" s="6">
        <f>SUM(B17:J17)</f>
        <v>38157.87</v>
      </c>
    </row>
    <row r="18" spans="2:10" ht="12.75" hidden="1">
      <c r="B18" s="7">
        <f>+'AL'!B17+'CW'!B17+'CG'!B17+UP!B17+S!B17+WR!B17</f>
        <v>0.42</v>
      </c>
      <c r="C18" s="7">
        <f>+'AL'!C17+'CW'!C17+'CG'!C17+UP!C17+S!C17+WR!C17</f>
        <v>396.73</v>
      </c>
      <c r="D18" s="7">
        <f>+'AL'!D17+'CW'!D17+'CG'!D17+UP!D17+S!D17+WR!D17</f>
        <v>1237.75</v>
      </c>
      <c r="E18" s="7">
        <f>+'AL'!E17+'CW'!E17+'CG'!E17+UP!E17+S!E17+WR!E17</f>
        <v>4707.36</v>
      </c>
      <c r="F18" s="7">
        <f>+'AL'!F17+'CW'!F17+'CG'!F17+UP!F17+S!F17+WR!F17</f>
        <v>8525.83</v>
      </c>
      <c r="G18" s="7">
        <f>+'AL'!G17+'CW'!G17+'CG'!G17+UP!G17+S!G17+WR!G17</f>
        <v>8012.5199999999995</v>
      </c>
      <c r="H18" s="7">
        <f>+'AL'!H17+'CW'!H17+'CG'!H17+UP!H17+S!H17+WR!H17</f>
        <v>5174.219999999999</v>
      </c>
      <c r="I18" s="7">
        <f>+'AL'!I17+'CW'!I17+'CG'!I17+UP!I17+S!I17+WR!I17</f>
        <v>7580.139999999999</v>
      </c>
      <c r="J18" s="7">
        <f>+'AL'!J17+'CW'!J17+'CG'!J17+UP!J17+S!J17+WR!J17</f>
        <v>2522.9</v>
      </c>
    </row>
    <row r="19" spans="2:10" ht="13.5" thickBot="1">
      <c r="B19" s="7"/>
      <c r="C19" s="7"/>
      <c r="D19" s="7"/>
      <c r="E19" s="7"/>
      <c r="F19" s="7"/>
      <c r="G19" s="7"/>
      <c r="H19" s="7"/>
      <c r="I19" s="7"/>
      <c r="J19" s="7"/>
    </row>
    <row r="20" spans="3:8" ht="18" customHeight="1" thickBot="1">
      <c r="C20" s="28" t="s">
        <v>25</v>
      </c>
      <c r="D20" s="29"/>
      <c r="E20" s="29"/>
      <c r="F20" s="29"/>
      <c r="G20" s="29"/>
      <c r="H20" s="30"/>
    </row>
    <row r="21" spans="3:8" ht="17.25" customHeight="1">
      <c r="C21" s="31" t="s">
        <v>26</v>
      </c>
      <c r="D21" s="32"/>
      <c r="E21" s="32"/>
      <c r="F21" s="33">
        <f>+K17</f>
        <v>38157.87</v>
      </c>
      <c r="G21" s="34"/>
      <c r="H21" s="35"/>
    </row>
    <row r="22" spans="3:8" ht="17.25" customHeight="1">
      <c r="C22" s="21" t="s">
        <v>27</v>
      </c>
      <c r="D22" s="22"/>
      <c r="E22" s="22"/>
      <c r="F22" s="13">
        <v>0.995</v>
      </c>
      <c r="G22" s="13"/>
      <c r="H22" s="14"/>
    </row>
    <row r="23" spans="3:8" ht="17.25" customHeight="1">
      <c r="C23" s="21" t="s">
        <v>28</v>
      </c>
      <c r="D23" s="22"/>
      <c r="E23" s="22"/>
      <c r="F23" s="36">
        <f>ROUND(F21*F22,2)</f>
        <v>37967.08</v>
      </c>
      <c r="G23" s="37"/>
      <c r="H23" s="38"/>
    </row>
    <row r="24" spans="3:8" ht="17.25" customHeight="1">
      <c r="C24" s="21" t="s">
        <v>29</v>
      </c>
      <c r="D24" s="22"/>
      <c r="E24" s="22"/>
      <c r="F24" s="36">
        <f>+'AL'!F24+'CW'!F24+'CG'!F24+UP!F24+S!F24+WR!F24</f>
        <v>184</v>
      </c>
      <c r="G24" s="37"/>
      <c r="H24" s="38"/>
    </row>
    <row r="25" spans="3:8" ht="17.25" customHeight="1" thickBot="1">
      <c r="C25" s="23" t="s">
        <v>30</v>
      </c>
      <c r="D25" s="24"/>
      <c r="E25" s="24"/>
      <c r="F25" s="39">
        <f>SUM(F23:H24)</f>
        <v>38151.08</v>
      </c>
      <c r="G25" s="40"/>
      <c r="H25" s="41"/>
    </row>
    <row r="27" spans="2:10" ht="12.75">
      <c r="B27" s="8"/>
      <c r="C27" s="8"/>
      <c r="D27" s="8"/>
      <c r="E27" s="8"/>
      <c r="F27" s="8"/>
      <c r="G27" s="8"/>
      <c r="H27" s="8"/>
      <c r="I27" s="8"/>
      <c r="J27" s="8"/>
    </row>
  </sheetData>
  <mergeCells count="12">
    <mergeCell ref="B2:K2"/>
    <mergeCell ref="C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</mergeCells>
  <printOptions/>
  <pageMargins left="1.9291338582677167" right="0.7480314960629921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Townshs</dc:creator>
  <cp:keywords/>
  <dc:description/>
  <cp:lastModifiedBy>Sarah Haythorpe</cp:lastModifiedBy>
  <cp:lastPrinted>2007-12-17T10:01:50Z</cp:lastPrinted>
  <dcterms:created xsi:type="dcterms:W3CDTF">2005-12-14T10:26:27Z</dcterms:created>
  <dcterms:modified xsi:type="dcterms:W3CDTF">2007-12-19T11:28:03Z</dcterms:modified>
  <cp:category/>
  <cp:version/>
  <cp:contentType/>
  <cp:contentStatus/>
</cp:coreProperties>
</file>