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935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<sst xmlns="http://schemas.openxmlformats.org/spreadsheetml/2006/main" count="83" uniqueCount="63">
  <si>
    <t>Consolidated Revenue Account (General Fund)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</si>
  <si>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</si>
  <si>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</si>
  <si>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</si>
  <si>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</si>
  <si>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</si>
  <si>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</si>
  <si>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</si>
  <si>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</si>
  <si>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</si>
  <si>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</si>
  <si>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</si>
  <si>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</si>
  <si>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</si>
  <si>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</si>
  <si>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</si>
  <si>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</si>
  <si>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</si>
  <si>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</si>
  <si>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</si>
  <si>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</si>
  <si>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2021/22</t>
  </si>
  <si>
    <t>2022/2023</t>
  </si>
  <si>
    <t>Latest</t>
  </si>
  <si>
    <t>Forecast</t>
  </si>
  <si>
    <t>Budget</t>
  </si>
  <si>
    <t>Data</t>
  </si>
  <si>
    <t>Council Tax Base (No.)</t>
  </si>
  <si>
    <t>Council Tax Base Increase (%)</t>
  </si>
  <si>
    <t>Government Grants (£)</t>
  </si>
  <si>
    <t>Government Grants Increase / Decrease (-) (%)</t>
  </si>
  <si>
    <t>Collection Fund Surplus (+) / Deficit (-) (£)</t>
  </si>
  <si>
    <t>Band D Council Tax (£)</t>
  </si>
  <si>
    <t>Council Tax Increase - TRDC (%)</t>
  </si>
  <si>
    <t>Employee Cost Inflation (%)</t>
  </si>
  <si>
    <t>Parish Precept Increase (%)</t>
  </si>
  <si>
    <t>Other Cost Inflation (%)</t>
  </si>
  <si>
    <t>Interest Rate (%)</t>
  </si>
  <si>
    <t>Fees &amp; Charges Increase (%)</t>
  </si>
  <si>
    <t>Efficiency Savings (% of Expenditure)</t>
  </si>
  <si>
    <t>INFLATION</t>
  </si>
  <si>
    <t>Financial Statement</t>
  </si>
  <si>
    <t>£</t>
  </si>
  <si>
    <t>General Fund Balance Brought Forward at 1 April</t>
  </si>
  <si>
    <t>Expenditure:</t>
  </si>
  <si>
    <t xml:space="preserve">     Employee Costs (-)</t>
  </si>
  <si>
    <t xml:space="preserve">     Other Costs (-)</t>
  </si>
  <si>
    <t xml:space="preserve">     Parish Precepts</t>
  </si>
  <si>
    <t xml:space="preserve">     Revenue Contribution to Capital Expendiiture (-)</t>
  </si>
  <si>
    <t xml:space="preserve">          Sub-Total</t>
  </si>
  <si>
    <t>Income:</t>
  </si>
  <si>
    <t xml:space="preserve">     Fees &amp; Charges (+)</t>
  </si>
  <si>
    <t xml:space="preserve">     Council Tax Freeze Grant</t>
  </si>
  <si>
    <t xml:space="preserve">     Housing &amp; Council Tax Benefits (net) (+)</t>
  </si>
  <si>
    <t xml:space="preserve">     Internal Recharges (+)</t>
  </si>
  <si>
    <t xml:space="preserve">     Net Transfer from Reserves (+)</t>
  </si>
  <si>
    <t xml:space="preserve">     Interest (+)</t>
  </si>
  <si>
    <t xml:space="preserve">     Efficiency Savings (+)</t>
  </si>
  <si>
    <t>Net Expenditure</t>
  </si>
  <si>
    <t>Income from Council Tax &amp; Government Grants</t>
  </si>
  <si>
    <t>Revenue Budget Surplus (+) /Deficit (-) for Year</t>
  </si>
  <si>
    <t>General Fund Balance Carried Forward at 31 March</t>
  </si>
  <si>
    <t>APPENDIX 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</si>
</sst>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0"/>
  </numFmts>
  <fonts count="5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2" fontId="4" fillId="2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sone\Local%20Settings\Temporary%20Internet%20Files\OLKE\Budget%20Model%20-%20Ten%20Year%20Projection%20-%20120903%20-%20Executive%20Committ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I&amp;E"/>
      <sheetName val="Revenue 10 Year"/>
      <sheetName val="Capital 10 Year"/>
      <sheetName val="Interest"/>
    </sheetNames>
    <sheetDataSet>
      <sheetData sheetId="1">
        <row r="5">
          <cell r="B5">
            <v>27974180</v>
          </cell>
          <cell r="C5">
            <v>28400290</v>
          </cell>
          <cell r="D5">
            <v>28400290</v>
          </cell>
        </row>
        <row r="6">
          <cell r="B6">
            <v>566844</v>
          </cell>
          <cell r="C6">
            <v>510170</v>
          </cell>
          <cell r="D6">
            <v>514810</v>
          </cell>
        </row>
        <row r="7">
          <cell r="B7">
            <v>503780</v>
          </cell>
          <cell r="C7">
            <v>510830</v>
          </cell>
          <cell r="D7">
            <v>510830</v>
          </cell>
        </row>
        <row r="8">
          <cell r="B8">
            <v>3637050</v>
          </cell>
          <cell r="C8">
            <v>3712270</v>
          </cell>
          <cell r="D8">
            <v>3777580</v>
          </cell>
        </row>
        <row r="9">
          <cell r="B9">
            <v>1447520</v>
          </cell>
          <cell r="C9">
            <v>1470120</v>
          </cell>
          <cell r="D9">
            <v>1495260</v>
          </cell>
        </row>
        <row r="10">
          <cell r="B10">
            <v>411000</v>
          </cell>
          <cell r="C10">
            <v>517000</v>
          </cell>
          <cell r="D10">
            <v>709000</v>
          </cell>
        </row>
        <row r="16">
          <cell r="B16">
            <v>11355830</v>
          </cell>
          <cell r="C16">
            <v>11428150</v>
          </cell>
          <cell r="D16">
            <v>11774300</v>
          </cell>
        </row>
        <row r="17">
          <cell r="B17">
            <v>1316700</v>
          </cell>
          <cell r="C17">
            <v>1376140</v>
          </cell>
          <cell r="D17">
            <v>1418510</v>
          </cell>
        </row>
        <row r="18">
          <cell r="B18">
            <v>1251020</v>
          </cell>
          <cell r="C18">
            <v>1255520</v>
          </cell>
          <cell r="D18">
            <v>1255520</v>
          </cell>
        </row>
        <row r="19">
          <cell r="B19">
            <v>4203940</v>
          </cell>
          <cell r="C19">
            <v>3420950</v>
          </cell>
          <cell r="D19">
            <v>3119950</v>
          </cell>
        </row>
        <row r="20">
          <cell r="B20">
            <v>516600</v>
          </cell>
          <cell r="C20">
            <v>534170</v>
          </cell>
          <cell r="D20">
            <v>449310</v>
          </cell>
        </row>
        <row r="21">
          <cell r="B21">
            <v>28354000</v>
          </cell>
          <cell r="C21">
            <v>29228226</v>
          </cell>
          <cell r="D21">
            <v>29296620</v>
          </cell>
        </row>
        <row r="33">
          <cell r="B33">
            <v>27428140</v>
          </cell>
          <cell r="C33">
            <v>28061450</v>
          </cell>
          <cell r="D33">
            <v>28061450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49">
          <cell r="B49">
            <v>26971050</v>
          </cell>
          <cell r="C49">
            <v>27629656</v>
          </cell>
          <cell r="D49">
            <v>27629660</v>
          </cell>
        </row>
        <row r="56">
          <cell r="B56">
            <v>457090</v>
          </cell>
          <cell r="C56">
            <v>431794</v>
          </cell>
          <cell r="D56">
            <v>431790</v>
          </cell>
        </row>
        <row r="85">
          <cell r="B85">
            <v>-320590</v>
          </cell>
          <cell r="C85">
            <v>-320590</v>
          </cell>
          <cell r="D85">
            <v>-320590</v>
          </cell>
        </row>
        <row r="91">
          <cell r="B91">
            <v>10</v>
          </cell>
          <cell r="C91">
            <v>10</v>
          </cell>
          <cell r="D91">
            <v>10</v>
          </cell>
        </row>
        <row r="92">
          <cell r="B92">
            <v>1449890</v>
          </cell>
          <cell r="C92">
            <v>1483180</v>
          </cell>
          <cell r="D92">
            <v>1530000</v>
          </cell>
        </row>
        <row r="93">
          <cell r="B93">
            <v>-1379970</v>
          </cell>
          <cell r="C93">
            <v>-1412390</v>
          </cell>
          <cell r="D93">
            <v>-1536000</v>
          </cell>
        </row>
        <row r="94">
          <cell r="B94">
            <v>3433000</v>
          </cell>
          <cell r="C94">
            <v>3433000</v>
          </cell>
          <cell r="D94">
            <v>3433000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</row>
        <row r="97">
          <cell r="B97">
            <v>74190</v>
          </cell>
          <cell r="C97">
            <v>74190</v>
          </cell>
          <cell r="D97">
            <v>74190</v>
          </cell>
        </row>
        <row r="101">
          <cell r="B101">
            <v>3467000</v>
          </cell>
          <cell r="C101">
            <v>3467000</v>
          </cell>
          <cell r="D101">
            <v>3467000</v>
          </cell>
        </row>
        <row r="102">
          <cell r="B102">
            <v>14280</v>
          </cell>
          <cell r="C102">
            <v>14280</v>
          </cell>
          <cell r="D102">
            <v>14280</v>
          </cell>
        </row>
        <row r="108">
          <cell r="B108">
            <v>1454330</v>
          </cell>
          <cell r="C108">
            <v>1519780</v>
          </cell>
          <cell r="D108">
            <v>1588170</v>
          </cell>
        </row>
      </sheetData>
      <sheetData sheetId="4">
        <row r="9">
          <cell r="E9">
            <v>929511.0981407351</v>
          </cell>
          <cell r="F9">
            <v>897058.8008013852</v>
          </cell>
          <cell r="G9">
            <v>867779.1694014716</v>
          </cell>
          <cell r="H9">
            <v>811672.2563629597</v>
          </cell>
          <cell r="I9">
            <v>782686.1265464663</v>
          </cell>
          <cell r="J9">
            <v>780202.8607472896</v>
          </cell>
          <cell r="K9">
            <v>787984.7438967337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2.375" style="1" customWidth="1"/>
    <col min="2" max="2" width="38.125" style="1" customWidth="1"/>
    <col min="3" max="11" width="10.25390625" style="1" customWidth="1"/>
    <col min="12" max="12" width="10.00390625" style="1" bestFit="1" customWidth="1"/>
    <col min="13" max="13" width="10.50390625" style="1" bestFit="1" customWidth="1"/>
    <col min="14" max="16384" width="9.00390625" style="1" customWidth="1"/>
  </cols>
  <sheetData>
    <row r="1" ht="12.75">
      <c r="M1" s="2" t="s">
        <v>62</v>
      </c>
    </row>
    <row r="2" ht="12.75">
      <c r="M2" s="2"/>
    </row>
    <row r="3" spans="2:13" ht="12.7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3:13" ht="12.75"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21</v>
      </c>
      <c r="M4" s="3" t="s">
        <v>22</v>
      </c>
    </row>
    <row r="5" spans="2:13" ht="12.75">
      <c r="B5" s="2"/>
      <c r="C5" s="3" t="s">
        <v>23</v>
      </c>
      <c r="D5" s="3" t="s">
        <v>24</v>
      </c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</row>
    <row r="6" spans="3:11" ht="12.75">
      <c r="C6" s="3" t="s">
        <v>25</v>
      </c>
      <c r="D6" s="3"/>
      <c r="E6" s="3"/>
      <c r="F6" s="3"/>
      <c r="G6" s="3"/>
      <c r="H6" s="3"/>
      <c r="I6" s="3"/>
      <c r="J6" s="3"/>
      <c r="K6" s="3"/>
    </row>
    <row r="7" spans="2:12" ht="12.75">
      <c r="B7" s="2" t="s">
        <v>26</v>
      </c>
      <c r="C7" s="4">
        <f aca="true" t="shared" si="0" ref="C7:L7">+C8*C13</f>
        <v>5999651.529</v>
      </c>
      <c r="D7" s="4">
        <f t="shared" si="0"/>
        <v>6149227.532</v>
      </c>
      <c r="E7" s="4">
        <f t="shared" si="0"/>
        <v>6302505.363199999</v>
      </c>
      <c r="F7" s="4">
        <f t="shared" si="0"/>
        <v>6459529.271999999</v>
      </c>
      <c r="G7" s="4">
        <f t="shared" si="0"/>
        <v>6620347.195</v>
      </c>
      <c r="H7" s="4">
        <f t="shared" si="0"/>
        <v>6785002.575999999</v>
      </c>
      <c r="I7" s="4">
        <f t="shared" si="0"/>
        <v>6953943.193999999</v>
      </c>
      <c r="J7" s="4">
        <f t="shared" si="0"/>
        <v>7127222.685199999</v>
      </c>
      <c r="K7" s="4">
        <f t="shared" si="0"/>
        <v>7304488.778399999</v>
      </c>
      <c r="L7" s="4">
        <f t="shared" si="0"/>
        <v>7486196.7336</v>
      </c>
    </row>
    <row r="8" spans="2:13" ht="12.75">
      <c r="B8" s="1" t="s">
        <v>27</v>
      </c>
      <c r="C8" s="5">
        <v>38883.03</v>
      </c>
      <c r="D8" s="5">
        <f>ROUND(C8*((100+D9)/100),2)</f>
        <v>39077.45</v>
      </c>
      <c r="E8" s="5">
        <f aca="true" t="shared" si="1" ref="E8:L8">ROUND(D8*((E9+100)/100),2)</f>
        <v>39272.84</v>
      </c>
      <c r="F8" s="5">
        <f t="shared" si="1"/>
        <v>39469.2</v>
      </c>
      <c r="G8" s="5">
        <f t="shared" si="1"/>
        <v>39666.55</v>
      </c>
      <c r="H8" s="5">
        <f t="shared" si="1"/>
        <v>39864.88</v>
      </c>
      <c r="I8" s="5">
        <f t="shared" si="1"/>
        <v>40064.2</v>
      </c>
      <c r="J8" s="5">
        <f t="shared" si="1"/>
        <v>40264.52</v>
      </c>
      <c r="K8" s="5">
        <f t="shared" si="1"/>
        <v>40465.84</v>
      </c>
      <c r="L8" s="5">
        <f t="shared" si="1"/>
        <v>40668.17</v>
      </c>
      <c r="M8" s="5">
        <f>ROUND(L8*((M9+100)/100),2)</f>
        <v>41278.19</v>
      </c>
    </row>
    <row r="9" spans="2:13" ht="12.75">
      <c r="B9" s="1" t="s">
        <v>28</v>
      </c>
      <c r="C9" s="6"/>
      <c r="D9" s="7">
        <v>0.5</v>
      </c>
      <c r="E9" s="8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M9" s="7">
        <v>1.5</v>
      </c>
    </row>
    <row r="10" spans="2:13" ht="12.75">
      <c r="B10" s="1" t="s">
        <v>29</v>
      </c>
      <c r="C10" s="9">
        <v>4009841</v>
      </c>
      <c r="D10" s="9">
        <f aca="true" t="shared" si="2" ref="D10:L10">ROUND(C10*((100+D11)/100),0)</f>
        <v>3725142</v>
      </c>
      <c r="E10" s="9">
        <f t="shared" si="2"/>
        <v>3460657</v>
      </c>
      <c r="F10" s="9">
        <f t="shared" si="2"/>
        <v>3460657</v>
      </c>
      <c r="G10" s="9">
        <f t="shared" si="2"/>
        <v>3529870</v>
      </c>
      <c r="H10" s="9">
        <f t="shared" si="2"/>
        <v>3600467</v>
      </c>
      <c r="I10" s="9">
        <f t="shared" si="2"/>
        <v>3672476</v>
      </c>
      <c r="J10" s="9">
        <f t="shared" si="2"/>
        <v>3745926</v>
      </c>
      <c r="K10" s="9">
        <f t="shared" si="2"/>
        <v>3820845</v>
      </c>
      <c r="L10" s="9">
        <f t="shared" si="2"/>
        <v>3897262</v>
      </c>
      <c r="M10" s="9">
        <f>ROUND(L10*((100+M11)/100),0)</f>
        <v>3975207</v>
      </c>
    </row>
    <row r="11" spans="2:13" ht="12.75">
      <c r="B11" s="1" t="s">
        <v>30</v>
      </c>
      <c r="C11" s="10"/>
      <c r="D11" s="11">
        <v>-7.1</v>
      </c>
      <c r="E11" s="12">
        <v>-7.1</v>
      </c>
      <c r="F11" s="12">
        <v>0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</row>
    <row r="12" spans="2:13" ht="12.75">
      <c r="B12" s="1" t="s">
        <v>31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2:13" ht="13.5" thickBot="1">
      <c r="B13" s="1" t="s">
        <v>32</v>
      </c>
      <c r="C13" s="14">
        <v>154.3</v>
      </c>
      <c r="D13" s="14">
        <f aca="true" t="shared" si="3" ref="D13:L13">ROUND(C13*((100+D14)/100),2)</f>
        <v>157.36</v>
      </c>
      <c r="E13" s="14">
        <f t="shared" si="3"/>
        <v>160.48</v>
      </c>
      <c r="F13" s="14">
        <f t="shared" si="3"/>
        <v>163.66</v>
      </c>
      <c r="G13" s="14">
        <f t="shared" si="3"/>
        <v>166.9</v>
      </c>
      <c r="H13" s="14">
        <f t="shared" si="3"/>
        <v>170.2</v>
      </c>
      <c r="I13" s="14">
        <f t="shared" si="3"/>
        <v>173.57</v>
      </c>
      <c r="J13" s="14">
        <f t="shared" si="3"/>
        <v>177.01</v>
      </c>
      <c r="K13" s="14">
        <f t="shared" si="3"/>
        <v>180.51</v>
      </c>
      <c r="L13" s="14">
        <f t="shared" si="3"/>
        <v>184.08</v>
      </c>
      <c r="M13" s="14">
        <f>ROUND(L13*((100+M14)/100),2)</f>
        <v>187.72</v>
      </c>
    </row>
    <row r="14" spans="2:13" ht="14.25" thickBot="1" thickTop="1">
      <c r="B14" s="15" t="s">
        <v>33</v>
      </c>
      <c r="C14" s="16">
        <v>-0.66</v>
      </c>
      <c r="D14" s="16">
        <v>1.98</v>
      </c>
      <c r="E14" s="16">
        <f>+D14</f>
        <v>1.98</v>
      </c>
      <c r="F14" s="16">
        <f>+E14</f>
        <v>1.98</v>
      </c>
      <c r="G14" s="16">
        <f aca="true" t="shared" si="4" ref="G14:L14">+F14</f>
        <v>1.98</v>
      </c>
      <c r="H14" s="16">
        <f t="shared" si="4"/>
        <v>1.98</v>
      </c>
      <c r="I14" s="16">
        <f t="shared" si="4"/>
        <v>1.98</v>
      </c>
      <c r="J14" s="16">
        <f t="shared" si="4"/>
        <v>1.98</v>
      </c>
      <c r="K14" s="16">
        <f t="shared" si="4"/>
        <v>1.98</v>
      </c>
      <c r="L14" s="16">
        <f t="shared" si="4"/>
        <v>1.98</v>
      </c>
      <c r="M14" s="16">
        <f>+L14</f>
        <v>1.98</v>
      </c>
    </row>
    <row r="15" spans="2:13" ht="13.5" thickTop="1">
      <c r="B15" s="1" t="s">
        <v>34</v>
      </c>
      <c r="C15" s="17"/>
      <c r="D15" s="17"/>
      <c r="E15" s="14"/>
      <c r="F15" s="18">
        <f>+F21+0.75</f>
        <v>2.75</v>
      </c>
      <c r="G15" s="18">
        <f aca="true" t="shared" si="5" ref="G15:L15">+G21+0.75</f>
        <v>2.75</v>
      </c>
      <c r="H15" s="18">
        <f t="shared" si="5"/>
        <v>2.75</v>
      </c>
      <c r="I15" s="18">
        <f t="shared" si="5"/>
        <v>2.75</v>
      </c>
      <c r="J15" s="18">
        <f t="shared" si="5"/>
        <v>2.75</v>
      </c>
      <c r="K15" s="18">
        <f t="shared" si="5"/>
        <v>2.75</v>
      </c>
      <c r="L15" s="18">
        <f t="shared" si="5"/>
        <v>2.75</v>
      </c>
      <c r="M15" s="18">
        <f>+M21+0.75</f>
        <v>2.75</v>
      </c>
    </row>
    <row r="16" spans="2:13" ht="12.75">
      <c r="B16" s="1" t="s">
        <v>35</v>
      </c>
      <c r="C16" s="17"/>
      <c r="D16" s="17"/>
      <c r="E16" s="14"/>
      <c r="F16" s="18">
        <f>+F21+1</f>
        <v>3</v>
      </c>
      <c r="G16" s="18">
        <f aca="true" t="shared" si="6" ref="G16:L16">+G21+1</f>
        <v>3</v>
      </c>
      <c r="H16" s="18">
        <f t="shared" si="6"/>
        <v>3</v>
      </c>
      <c r="I16" s="18">
        <f t="shared" si="6"/>
        <v>3</v>
      </c>
      <c r="J16" s="18">
        <f t="shared" si="6"/>
        <v>3</v>
      </c>
      <c r="K16" s="18">
        <f t="shared" si="6"/>
        <v>3</v>
      </c>
      <c r="L16" s="18">
        <f t="shared" si="6"/>
        <v>3</v>
      </c>
      <c r="M16" s="18">
        <f>+M21+1</f>
        <v>3</v>
      </c>
    </row>
    <row r="17" spans="2:13" ht="12.75">
      <c r="B17" s="1" t="s">
        <v>36</v>
      </c>
      <c r="C17" s="17"/>
      <c r="D17" s="17"/>
      <c r="E17" s="14"/>
      <c r="F17" s="18">
        <f>+F21-0.25</f>
        <v>1.75</v>
      </c>
      <c r="G17" s="18">
        <f aca="true" t="shared" si="7" ref="G17:L17">+G21-0.25</f>
        <v>1.75</v>
      </c>
      <c r="H17" s="18">
        <f t="shared" si="7"/>
        <v>1.75</v>
      </c>
      <c r="I17" s="18">
        <f t="shared" si="7"/>
        <v>1.75</v>
      </c>
      <c r="J17" s="18">
        <f t="shared" si="7"/>
        <v>1.75</v>
      </c>
      <c r="K17" s="18">
        <f t="shared" si="7"/>
        <v>1.75</v>
      </c>
      <c r="L17" s="18">
        <f t="shared" si="7"/>
        <v>1.75</v>
      </c>
      <c r="M17" s="18">
        <f>+M21-0.25</f>
        <v>1.75</v>
      </c>
    </row>
    <row r="18" spans="2:13" ht="12.75">
      <c r="B18" s="1" t="s">
        <v>37</v>
      </c>
      <c r="C18" s="17"/>
      <c r="D18" s="17"/>
      <c r="E18" s="14"/>
      <c r="F18" s="18">
        <f>+F21+2</f>
        <v>4</v>
      </c>
      <c r="G18" s="18">
        <f aca="true" t="shared" si="8" ref="G18:L18">+G21+2</f>
        <v>4</v>
      </c>
      <c r="H18" s="18">
        <f t="shared" si="8"/>
        <v>4</v>
      </c>
      <c r="I18" s="18">
        <f t="shared" si="8"/>
        <v>4</v>
      </c>
      <c r="J18" s="18">
        <f t="shared" si="8"/>
        <v>4</v>
      </c>
      <c r="K18" s="18">
        <f t="shared" si="8"/>
        <v>4</v>
      </c>
      <c r="L18" s="18">
        <f t="shared" si="8"/>
        <v>4</v>
      </c>
      <c r="M18" s="18">
        <f>+M21+2</f>
        <v>4</v>
      </c>
    </row>
    <row r="19" spans="2:13" ht="12.75">
      <c r="B19" s="1" t="s">
        <v>38</v>
      </c>
      <c r="C19" s="17"/>
      <c r="D19" s="17"/>
      <c r="E19" s="14"/>
      <c r="F19" s="18">
        <f>+F21+1</f>
        <v>3</v>
      </c>
      <c r="G19" s="18">
        <f aca="true" t="shared" si="9" ref="G19:L19">+G21+1</f>
        <v>3</v>
      </c>
      <c r="H19" s="18">
        <f t="shared" si="9"/>
        <v>3</v>
      </c>
      <c r="I19" s="18">
        <f t="shared" si="9"/>
        <v>3</v>
      </c>
      <c r="J19" s="18">
        <f t="shared" si="9"/>
        <v>3</v>
      </c>
      <c r="K19" s="18">
        <f t="shared" si="9"/>
        <v>3</v>
      </c>
      <c r="L19" s="18">
        <f t="shared" si="9"/>
        <v>3</v>
      </c>
      <c r="M19" s="18">
        <f>+M21+1</f>
        <v>3</v>
      </c>
    </row>
    <row r="20" spans="2:13" ht="12.75">
      <c r="B20" s="1" t="s">
        <v>39</v>
      </c>
      <c r="C20" s="14"/>
      <c r="D20" s="14"/>
      <c r="E20" s="14"/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2</v>
      </c>
    </row>
    <row r="21" spans="2:13" s="19" customFormat="1" ht="12.75">
      <c r="B21" s="19" t="s">
        <v>40</v>
      </c>
      <c r="C21" s="20"/>
      <c r="D21" s="20"/>
      <c r="E21" s="20"/>
      <c r="F21" s="20">
        <v>2</v>
      </c>
      <c r="G21" s="20">
        <f aca="true" t="shared" si="10" ref="G21:L21">+F21</f>
        <v>2</v>
      </c>
      <c r="H21" s="20">
        <f t="shared" si="10"/>
        <v>2</v>
      </c>
      <c r="I21" s="20">
        <f t="shared" si="10"/>
        <v>2</v>
      </c>
      <c r="J21" s="20">
        <f t="shared" si="10"/>
        <v>2</v>
      </c>
      <c r="K21" s="20">
        <f t="shared" si="10"/>
        <v>2</v>
      </c>
      <c r="L21" s="20">
        <f t="shared" si="10"/>
        <v>2</v>
      </c>
      <c r="M21" s="20">
        <f>+L21</f>
        <v>2</v>
      </c>
    </row>
    <row r="22" spans="2:13" ht="12.75">
      <c r="B22" s="2" t="s">
        <v>41</v>
      </c>
      <c r="C22" s="3" t="s">
        <v>42</v>
      </c>
      <c r="D22" s="3" t="s">
        <v>42</v>
      </c>
      <c r="E22" s="3" t="s">
        <v>42</v>
      </c>
      <c r="F22" s="3" t="s">
        <v>42</v>
      </c>
      <c r="G22" s="3" t="s">
        <v>42</v>
      </c>
      <c r="H22" s="3" t="s">
        <v>42</v>
      </c>
      <c r="I22" s="3" t="s">
        <v>42</v>
      </c>
      <c r="J22" s="3" t="s">
        <v>42</v>
      </c>
      <c r="K22" s="3" t="s">
        <v>42</v>
      </c>
      <c r="L22" s="3" t="s">
        <v>42</v>
      </c>
      <c r="M22" s="3" t="s">
        <v>42</v>
      </c>
    </row>
    <row r="23" spans="2:13" ht="12.75">
      <c r="B23" s="1" t="s">
        <v>43</v>
      </c>
      <c r="C23" s="13">
        <v>8164070</v>
      </c>
      <c r="D23" s="13">
        <f aca="true" t="shared" si="11" ref="D23:M23">C47</f>
        <v>7586607</v>
      </c>
      <c r="E23" s="13">
        <f t="shared" si="11"/>
        <v>7275581</v>
      </c>
      <c r="F23" s="13">
        <f t="shared" si="11"/>
        <v>7060983</v>
      </c>
      <c r="G23" s="13">
        <f t="shared" si="11"/>
        <v>7021007.073140731</v>
      </c>
      <c r="H23" s="13">
        <f t="shared" si="11"/>
        <v>7127859.83475461</v>
      </c>
      <c r="I23" s="13">
        <f t="shared" si="11"/>
        <v>7267935.310901543</v>
      </c>
      <c r="J23" s="13">
        <f t="shared" si="11"/>
        <v>7373000.602740681</v>
      </c>
      <c r="K23" s="13">
        <f t="shared" si="11"/>
        <v>7453746.496386753</v>
      </c>
      <c r="L23" s="13">
        <f t="shared" si="11"/>
        <v>7495814.998617936</v>
      </c>
      <c r="M23" s="13">
        <f t="shared" si="11"/>
        <v>7518983.981411742</v>
      </c>
    </row>
    <row r="24" spans="3:11" ht="12.75"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2.75">
      <c r="B25" s="1" t="s">
        <v>44</v>
      </c>
      <c r="C25" s="22"/>
      <c r="D25" s="22"/>
      <c r="E25" s="22"/>
      <c r="F25" s="21"/>
      <c r="G25" s="21"/>
      <c r="H25" s="21"/>
      <c r="I25" s="21"/>
      <c r="J25" s="21"/>
      <c r="K25" s="21"/>
    </row>
    <row r="26" spans="2:13" ht="12.75">
      <c r="B26" s="1" t="s">
        <v>45</v>
      </c>
      <c r="C26" s="13">
        <f>-'[1]I&amp;E'!B16</f>
        <v>-11355830</v>
      </c>
      <c r="D26" s="13">
        <f>-'[1]I&amp;E'!C16</f>
        <v>-11428150</v>
      </c>
      <c r="E26" s="13">
        <f>-'[1]I&amp;E'!D16</f>
        <v>-11774300</v>
      </c>
      <c r="F26" s="13">
        <f aca="true" t="shared" si="12" ref="F26:K26">E26*((100+F15)/100)</f>
        <v>-12098093.250000002</v>
      </c>
      <c r="G26" s="13">
        <f t="shared" si="12"/>
        <v>-12430790.814375004</v>
      </c>
      <c r="H26" s="13">
        <f t="shared" si="12"/>
        <v>-12772637.561770318</v>
      </c>
      <c r="I26" s="13">
        <f t="shared" si="12"/>
        <v>-13123885.094719002</v>
      </c>
      <c r="J26" s="13">
        <f t="shared" si="12"/>
        <v>-13484791.934823776</v>
      </c>
      <c r="K26" s="13">
        <f t="shared" si="12"/>
        <v>-13855623.71303143</v>
      </c>
      <c r="L26" s="13">
        <f>K26*((100+L15)/100)</f>
        <v>-14236653.365139795</v>
      </c>
      <c r="M26" s="13">
        <f>L26*((100+M15)/100)</f>
        <v>-14628161.332681142</v>
      </c>
    </row>
    <row r="27" spans="2:13" ht="12.75">
      <c r="B27" s="1" t="s">
        <v>46</v>
      </c>
      <c r="C27" s="13">
        <f>-'[1]I&amp;E'!B17-'[1]I&amp;E'!B18-'[1]I&amp;E'!B19-'[1]I&amp;E'!B20-'[1]I&amp;E'!B21+'[1]I&amp;E'!B49+'[1]I&amp;E'!B108-150170</f>
        <v>-7367050</v>
      </c>
      <c r="D27" s="13">
        <f>-'[1]I&amp;E'!C17-'[1]I&amp;E'!C18-'[1]I&amp;E'!C19-'[1]I&amp;E'!C20-'[1]I&amp;E'!C21+'[1]I&amp;E'!C49+'[1]I&amp;E'!C108</f>
        <v>-6665570</v>
      </c>
      <c r="E27" s="13">
        <f>-'[1]I&amp;E'!D17-'[1]I&amp;E'!D18-'[1]I&amp;E'!D19-'[1]I&amp;E'!D20-'[1]I&amp;E'!D21+'[1]I&amp;E'!D49+'[1]I&amp;E'!D108</f>
        <v>-6322080</v>
      </c>
      <c r="F27" s="13">
        <f aca="true" t="shared" si="13" ref="F27:L27">E27*(1+(F17/100))</f>
        <v>-6432716.4</v>
      </c>
      <c r="G27" s="13">
        <f t="shared" si="13"/>
        <v>-6545288.937000001</v>
      </c>
      <c r="H27" s="13">
        <f t="shared" si="13"/>
        <v>-6659831.493397501</v>
      </c>
      <c r="I27" s="13">
        <f t="shared" si="13"/>
        <v>-6776378.544531958</v>
      </c>
      <c r="J27" s="13">
        <f t="shared" si="13"/>
        <v>-6894965.169061268</v>
      </c>
      <c r="K27" s="13">
        <f t="shared" si="13"/>
        <v>-7015627.05951984</v>
      </c>
      <c r="L27" s="13">
        <f t="shared" si="13"/>
        <v>-7138400.533061438</v>
      </c>
      <c r="M27" s="13">
        <f>L27*(1+(M17/100))</f>
        <v>-7263322.542390014</v>
      </c>
    </row>
    <row r="28" spans="2:13" ht="12.75">
      <c r="B28" s="1" t="s">
        <v>47</v>
      </c>
      <c r="C28" s="13">
        <f>-'[1]I&amp;E'!B108</f>
        <v>-1454330</v>
      </c>
      <c r="D28" s="13">
        <f>-'[1]I&amp;E'!C108</f>
        <v>-1519780</v>
      </c>
      <c r="E28" s="13">
        <f>-'[1]I&amp;E'!D108</f>
        <v>-1588170</v>
      </c>
      <c r="F28" s="13">
        <f aca="true" t="shared" si="14" ref="F28:K28">E28*(1+(F16/100))</f>
        <v>-1635815.1</v>
      </c>
      <c r="G28" s="13">
        <f t="shared" si="14"/>
        <v>-1684889.553</v>
      </c>
      <c r="H28" s="13">
        <f t="shared" si="14"/>
        <v>-1735436.2395900001</v>
      </c>
      <c r="I28" s="13">
        <f t="shared" si="14"/>
        <v>-1787499.3267777</v>
      </c>
      <c r="J28" s="13">
        <f t="shared" si="14"/>
        <v>-1841124.306581031</v>
      </c>
      <c r="K28" s="13">
        <f t="shared" si="14"/>
        <v>-1896358.035778462</v>
      </c>
      <c r="L28" s="13">
        <f>K28*(1+(L16/100))</f>
        <v>-1953248.7768518159</v>
      </c>
      <c r="M28" s="13">
        <f>L28*(1+(M16/100))</f>
        <v>-2011846.2401573705</v>
      </c>
    </row>
    <row r="29" spans="2:13" ht="12.75">
      <c r="B29" s="1" t="s">
        <v>48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24">
        <v>-125000</v>
      </c>
      <c r="I29" s="24">
        <v>-300000</v>
      </c>
      <c r="J29" s="24">
        <v>-500000</v>
      </c>
      <c r="K29" s="24">
        <v>-750000</v>
      </c>
      <c r="L29" s="25">
        <v>-1000000</v>
      </c>
      <c r="M29" s="25">
        <v>-1000000</v>
      </c>
    </row>
    <row r="30" spans="2:13" ht="12.75">
      <c r="B30" s="1" t="s">
        <v>49</v>
      </c>
      <c r="C30" s="13">
        <f aca="true" t="shared" si="15" ref="C30:M30">SUM(C26:C29)</f>
        <v>-20177210</v>
      </c>
      <c r="D30" s="13">
        <f t="shared" si="15"/>
        <v>-19613500</v>
      </c>
      <c r="E30" s="13">
        <f t="shared" si="15"/>
        <v>-19684550</v>
      </c>
      <c r="F30" s="13">
        <f t="shared" si="15"/>
        <v>-20166624.750000004</v>
      </c>
      <c r="G30" s="13">
        <f t="shared" si="15"/>
        <v>-20660969.304375004</v>
      </c>
      <c r="H30" s="13">
        <f t="shared" si="15"/>
        <v>-21292905.29475782</v>
      </c>
      <c r="I30" s="13">
        <f t="shared" si="15"/>
        <v>-21987762.96602866</v>
      </c>
      <c r="J30" s="13">
        <f t="shared" si="15"/>
        <v>-22720881.410466075</v>
      </c>
      <c r="K30" s="13">
        <f t="shared" si="15"/>
        <v>-23517608.80832973</v>
      </c>
      <c r="L30" s="13">
        <f t="shared" si="15"/>
        <v>-24328302.67505305</v>
      </c>
      <c r="M30" s="13">
        <f t="shared" si="15"/>
        <v>-24903330.115228526</v>
      </c>
    </row>
    <row r="31" spans="2:11" ht="12.75">
      <c r="B31" s="1" t="s">
        <v>50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3" ht="12.75">
      <c r="B32" s="1" t="s">
        <v>51</v>
      </c>
      <c r="C32" s="13">
        <f>'[1]I&amp;E'!B5+'[1]I&amp;E'!B6+'[1]I&amp;E'!B7+'[1]I&amp;E'!B8+'[1]I&amp;E'!B9-'[1]I&amp;E'!B33-'[1]I&amp;E'!B34-C33+150170</f>
        <v>6550234</v>
      </c>
      <c r="D32" s="13">
        <f>'[1]I&amp;E'!C5+'[1]I&amp;E'!C6+'[1]I&amp;E'!C7+'[1]I&amp;E'!C8+'[1]I&amp;E'!C9-'[1]I&amp;E'!C33-'[1]I&amp;E'!C34-D33</f>
        <v>6392170</v>
      </c>
      <c r="E32" s="13">
        <f>'[1]I&amp;E'!D5+'[1]I&amp;E'!D6+'[1]I&amp;E'!D7+'[1]I&amp;E'!D8+'[1]I&amp;E'!D9-'[1]I&amp;E'!D33-'[1]I&amp;E'!D34-E33</f>
        <v>6487260</v>
      </c>
      <c r="F32" s="13">
        <f aca="true" t="shared" si="16" ref="F32:L32">E32*(1+(F19/100))</f>
        <v>6681877.8</v>
      </c>
      <c r="G32" s="13">
        <f t="shared" si="16"/>
        <v>6882334.134</v>
      </c>
      <c r="H32" s="13">
        <f t="shared" si="16"/>
        <v>7088804.15802</v>
      </c>
      <c r="I32" s="13">
        <f t="shared" si="16"/>
        <v>7301468.282760601</v>
      </c>
      <c r="J32" s="13">
        <f t="shared" si="16"/>
        <v>7520512.331243419</v>
      </c>
      <c r="K32" s="13">
        <f t="shared" si="16"/>
        <v>7746127.701180722</v>
      </c>
      <c r="L32" s="13">
        <f t="shared" si="16"/>
        <v>7978511.532216144</v>
      </c>
      <c r="M32" s="13">
        <f>L32*(1+(M19/100))</f>
        <v>8217866.878182628</v>
      </c>
    </row>
    <row r="33" spans="2:13" ht="12.75">
      <c r="B33" s="1" t="s">
        <v>52</v>
      </c>
      <c r="C33" s="13">
        <v>301170</v>
      </c>
      <c r="D33" s="13">
        <v>150060</v>
      </c>
      <c r="E33" s="13">
        <v>150060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2:13" ht="12.75">
      <c r="B34" s="1" t="s">
        <v>53</v>
      </c>
      <c r="C34" s="13">
        <f>'[1]I&amp;E'!B56</f>
        <v>457090</v>
      </c>
      <c r="D34" s="13">
        <f>'[1]I&amp;E'!C56</f>
        <v>431794</v>
      </c>
      <c r="E34" s="13">
        <f>'[1]I&amp;E'!D56</f>
        <v>431790</v>
      </c>
      <c r="F34" s="13">
        <f aca="true" t="shared" si="17" ref="F34:L34">E34</f>
        <v>431790</v>
      </c>
      <c r="G34" s="13">
        <f t="shared" si="17"/>
        <v>431790</v>
      </c>
      <c r="H34" s="13">
        <f t="shared" si="17"/>
        <v>431790</v>
      </c>
      <c r="I34" s="13">
        <f t="shared" si="17"/>
        <v>431790</v>
      </c>
      <c r="J34" s="13">
        <f t="shared" si="17"/>
        <v>431790</v>
      </c>
      <c r="K34" s="13">
        <f t="shared" si="17"/>
        <v>431790</v>
      </c>
      <c r="L34" s="13">
        <f t="shared" si="17"/>
        <v>431790</v>
      </c>
      <c r="M34" s="13">
        <f>L34</f>
        <v>431790</v>
      </c>
    </row>
    <row r="35" spans="2:13" ht="12.75">
      <c r="B35" s="1" t="s">
        <v>54</v>
      </c>
      <c r="C35" s="13">
        <f>-'[1]I&amp;E'!B85</f>
        <v>320590</v>
      </c>
      <c r="D35" s="13">
        <f>-'[1]I&amp;E'!C85</f>
        <v>320590</v>
      </c>
      <c r="E35" s="13">
        <f>-'[1]I&amp;E'!D85</f>
        <v>320590</v>
      </c>
      <c r="F35" s="13">
        <f aca="true" t="shared" si="18" ref="F35:L35">E35*(1+(F17/100))</f>
        <v>326200.325</v>
      </c>
      <c r="G35" s="13">
        <f t="shared" si="18"/>
        <v>331908.8306875</v>
      </c>
      <c r="H35" s="13">
        <f t="shared" si="18"/>
        <v>337717.23522453126</v>
      </c>
      <c r="I35" s="13">
        <f t="shared" si="18"/>
        <v>343627.28684096056</v>
      </c>
      <c r="J35" s="13">
        <f t="shared" si="18"/>
        <v>349640.7643606774</v>
      </c>
      <c r="K35" s="13">
        <f t="shared" si="18"/>
        <v>355759.47773698927</v>
      </c>
      <c r="L35" s="13">
        <f t="shared" si="18"/>
        <v>361985.2685973866</v>
      </c>
      <c r="M35" s="13">
        <f>L35*(1+(M17/100))</f>
        <v>368320.0107978409</v>
      </c>
    </row>
    <row r="36" spans="2:13" ht="12.75">
      <c r="B36" s="1" t="s">
        <v>55</v>
      </c>
      <c r="C36" s="13">
        <f>-'[1]I&amp;E'!B101-'[1]I&amp;E'!B102+'[1]I&amp;E'!B92+'[1]I&amp;E'!B93+'[1]I&amp;E'!B94+'[1]I&amp;E'!B95+'[1]I&amp;E'!B96+'[1]I&amp;E'!B97+'[1]I&amp;E'!B91</f>
        <v>95840</v>
      </c>
      <c r="D36" s="13">
        <f>-'[1]I&amp;E'!C101-'[1]I&amp;E'!C102+'[1]I&amp;E'!C92+'[1]I&amp;E'!C93+'[1]I&amp;E'!C94+'[1]I&amp;E'!C95+'[1]I&amp;E'!C96+'[1]I&amp;E'!C97+'[1]I&amp;E'!C91</f>
        <v>96710</v>
      </c>
      <c r="E36" s="13">
        <f>-'[1]I&amp;E'!D101-'[1]I&amp;E'!D102+'[1]I&amp;E'!D92+'[1]I&amp;E'!D93+'[1]I&amp;E'!D94+'[1]I&amp;E'!D95+'[1]I&amp;E'!D96+'[1]I&amp;E'!D97+'[1]I&amp;E'!D91</f>
        <v>19920</v>
      </c>
      <c r="F36" s="13">
        <f aca="true" t="shared" si="19" ref="F36:L36">E36*(1+(F17/100))</f>
        <v>20268.600000000002</v>
      </c>
      <c r="G36" s="13">
        <f t="shared" si="19"/>
        <v>20623.300500000005</v>
      </c>
      <c r="H36" s="13">
        <f t="shared" si="19"/>
        <v>20984.208258750008</v>
      </c>
      <c r="I36" s="13">
        <f t="shared" si="19"/>
        <v>21351.431903278135</v>
      </c>
      <c r="J36" s="13">
        <f t="shared" si="19"/>
        <v>21725.081961585503</v>
      </c>
      <c r="K36" s="13">
        <f t="shared" si="19"/>
        <v>22105.27089591325</v>
      </c>
      <c r="L36" s="13">
        <f t="shared" si="19"/>
        <v>22492.113136591735</v>
      </c>
      <c r="M36" s="13">
        <f>L36*(1+(M17/100))</f>
        <v>22885.725116482092</v>
      </c>
    </row>
    <row r="37" spans="2:13" ht="12.75">
      <c r="B37" s="1" t="s">
        <v>56</v>
      </c>
      <c r="C37" s="13">
        <f>'[1]I&amp;E'!B10</f>
        <v>411000</v>
      </c>
      <c r="D37" s="13">
        <f>'[1]I&amp;E'!C10</f>
        <v>517000</v>
      </c>
      <c r="E37" s="13">
        <f>'[1]I&amp;E'!D10</f>
        <v>709000</v>
      </c>
      <c r="F37" s="13">
        <f>'[1]Interest'!E9</f>
        <v>929511.0981407351</v>
      </c>
      <c r="G37" s="13">
        <f>'[1]Interest'!F9</f>
        <v>897058.8008013852</v>
      </c>
      <c r="H37" s="13">
        <f>'[1]Interest'!G9</f>
        <v>867779.1694014716</v>
      </c>
      <c r="I37" s="13">
        <f>'[1]Interest'!H9</f>
        <v>811672.2563629597</v>
      </c>
      <c r="J37" s="13">
        <f>'[1]Interest'!I9</f>
        <v>782686.1265464663</v>
      </c>
      <c r="K37" s="13">
        <f>'[1]Interest'!J9</f>
        <v>780202.8607472896</v>
      </c>
      <c r="L37" s="13">
        <f>'[1]Interest'!K9</f>
        <v>787984.7438967337</v>
      </c>
      <c r="M37" s="13">
        <v>812000</v>
      </c>
    </row>
    <row r="38" spans="2:13" ht="12.75">
      <c r="B38" s="1" t="s">
        <v>57</v>
      </c>
      <c r="C38" s="23">
        <v>0</v>
      </c>
      <c r="D38" s="23">
        <v>0</v>
      </c>
      <c r="E38" s="23">
        <v>0</v>
      </c>
      <c r="F38" s="23">
        <f aca="true" t="shared" si="20" ref="F38:L38">ROUND(-(E26+E27)*(F20/100)+E38*(1+F17/100),-3)</f>
        <v>181000</v>
      </c>
      <c r="G38" s="23">
        <f t="shared" si="20"/>
        <v>369000</v>
      </c>
      <c r="H38" s="23">
        <f t="shared" si="20"/>
        <v>565000</v>
      </c>
      <c r="I38" s="23">
        <f t="shared" si="20"/>
        <v>769000</v>
      </c>
      <c r="J38" s="23">
        <f t="shared" si="20"/>
        <v>981000</v>
      </c>
      <c r="K38" s="23">
        <f t="shared" si="20"/>
        <v>1202000</v>
      </c>
      <c r="L38" s="23">
        <f t="shared" si="20"/>
        <v>1432000</v>
      </c>
      <c r="M38" s="23">
        <f>ROUND(-(L26+L27)*(M20/100)+L38*(1+M17/100),-3)</f>
        <v>1885000</v>
      </c>
    </row>
    <row r="39" spans="2:13" ht="12.75">
      <c r="B39" s="1" t="s">
        <v>49</v>
      </c>
      <c r="C39" s="26">
        <f aca="true" t="shared" si="21" ref="C39:M39">SUM(C32:C38)</f>
        <v>8135924</v>
      </c>
      <c r="D39" s="26">
        <f t="shared" si="21"/>
        <v>7908324</v>
      </c>
      <c r="E39" s="26">
        <f t="shared" si="21"/>
        <v>8118620</v>
      </c>
      <c r="F39" s="26">
        <f t="shared" si="21"/>
        <v>8570647.823140735</v>
      </c>
      <c r="G39" s="26">
        <f t="shared" si="21"/>
        <v>8932715.065988883</v>
      </c>
      <c r="H39" s="26">
        <f t="shared" si="21"/>
        <v>9312074.770904753</v>
      </c>
      <c r="I39" s="26">
        <f t="shared" si="21"/>
        <v>9678909.257867798</v>
      </c>
      <c r="J39" s="26">
        <f t="shared" si="21"/>
        <v>10087354.304112148</v>
      </c>
      <c r="K39" s="26">
        <f t="shared" si="21"/>
        <v>10537985.310560914</v>
      </c>
      <c r="L39" s="26">
        <f t="shared" si="21"/>
        <v>11014763.657846855</v>
      </c>
      <c r="M39" s="26">
        <f t="shared" si="21"/>
        <v>11737862.61409695</v>
      </c>
    </row>
    <row r="40" spans="3:13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ht="12.75">
      <c r="B41" s="1" t="s">
        <v>58</v>
      </c>
      <c r="C41" s="13">
        <f aca="true" t="shared" si="22" ref="C41:L41">C30+C39</f>
        <v>-12041286</v>
      </c>
      <c r="D41" s="13">
        <f t="shared" si="22"/>
        <v>-11705176</v>
      </c>
      <c r="E41" s="13">
        <f t="shared" si="22"/>
        <v>-11565930</v>
      </c>
      <c r="F41" s="13">
        <f t="shared" si="22"/>
        <v>-11595976.926859269</v>
      </c>
      <c r="G41" s="13">
        <f t="shared" si="22"/>
        <v>-11728254.23838612</v>
      </c>
      <c r="H41" s="13">
        <f t="shared" si="22"/>
        <v>-11980830.523853067</v>
      </c>
      <c r="I41" s="13">
        <f t="shared" si="22"/>
        <v>-12308853.708160862</v>
      </c>
      <c r="J41" s="13">
        <f t="shared" si="22"/>
        <v>-12633527.106353927</v>
      </c>
      <c r="K41" s="13">
        <f t="shared" si="22"/>
        <v>-12979623.497768817</v>
      </c>
      <c r="L41" s="13">
        <f t="shared" si="22"/>
        <v>-13313539.017206194</v>
      </c>
      <c r="M41" s="13">
        <f>M30+M39</f>
        <v>-13165467.501131576</v>
      </c>
    </row>
    <row r="42" spans="3:13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2:13" ht="12.75">
      <c r="B43" s="1" t="s">
        <v>59</v>
      </c>
      <c r="C43" s="13">
        <f>ROUND((C13*C8)+C10+C12-C28,0)</f>
        <v>11463823</v>
      </c>
      <c r="D43" s="13">
        <f aca="true" t="shared" si="23" ref="D43:L43">ROUND((D13*D8)+D10+D12-D28,0)</f>
        <v>11394150</v>
      </c>
      <c r="E43" s="13">
        <f t="shared" si="23"/>
        <v>11351332</v>
      </c>
      <c r="F43" s="13">
        <f t="shared" si="23"/>
        <v>11556001</v>
      </c>
      <c r="G43" s="13">
        <f t="shared" si="23"/>
        <v>11835107</v>
      </c>
      <c r="H43" s="13">
        <f t="shared" si="23"/>
        <v>12120906</v>
      </c>
      <c r="I43" s="13">
        <f t="shared" si="23"/>
        <v>12413919</v>
      </c>
      <c r="J43" s="13">
        <f t="shared" si="23"/>
        <v>12714273</v>
      </c>
      <c r="K43" s="13">
        <f t="shared" si="23"/>
        <v>13021692</v>
      </c>
      <c r="L43" s="13">
        <f t="shared" si="23"/>
        <v>13336708</v>
      </c>
      <c r="M43" s="13">
        <f>ROUND((M13*M8)+M10+M12-M28,0)</f>
        <v>13735795</v>
      </c>
    </row>
    <row r="44" spans="3:13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2.75">
      <c r="B45" s="1" t="s">
        <v>60</v>
      </c>
      <c r="C45" s="13">
        <f aca="true" t="shared" si="24" ref="C45:L45">C41+C43</f>
        <v>-577463</v>
      </c>
      <c r="D45" s="13">
        <f t="shared" si="24"/>
        <v>-311026</v>
      </c>
      <c r="E45" s="13">
        <f t="shared" si="24"/>
        <v>-214598</v>
      </c>
      <c r="F45" s="13">
        <f t="shared" si="24"/>
        <v>-39975.92685926892</v>
      </c>
      <c r="G45" s="13">
        <f t="shared" si="24"/>
        <v>106852.76161387935</v>
      </c>
      <c r="H45" s="13">
        <f t="shared" si="24"/>
        <v>140075.4761469327</v>
      </c>
      <c r="I45" s="13">
        <f t="shared" si="24"/>
        <v>105065.29183913767</v>
      </c>
      <c r="J45" s="13">
        <f t="shared" si="24"/>
        <v>80745.8936460726</v>
      </c>
      <c r="K45" s="13">
        <f t="shared" si="24"/>
        <v>42068.50223118253</v>
      </c>
      <c r="L45" s="13">
        <f t="shared" si="24"/>
        <v>23168.98279380612</v>
      </c>
      <c r="M45" s="13">
        <f>M41+M43</f>
        <v>570327.4988684244</v>
      </c>
    </row>
    <row r="46" spans="3:13" ht="12.7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 ht="13.5" thickBot="1">
      <c r="B47" s="1" t="s">
        <v>61</v>
      </c>
      <c r="C47" s="29">
        <f aca="true" t="shared" si="25" ref="C47:L47">C23+C45</f>
        <v>7586607</v>
      </c>
      <c r="D47" s="29">
        <f t="shared" si="25"/>
        <v>7275581</v>
      </c>
      <c r="E47" s="29">
        <f t="shared" si="25"/>
        <v>7060983</v>
      </c>
      <c r="F47" s="29">
        <f t="shared" si="25"/>
        <v>7021007.073140731</v>
      </c>
      <c r="G47" s="29">
        <f t="shared" si="25"/>
        <v>7127859.83475461</v>
      </c>
      <c r="H47" s="29">
        <f t="shared" si="25"/>
        <v>7267935.310901543</v>
      </c>
      <c r="I47" s="29">
        <f t="shared" si="25"/>
        <v>7373000.602740681</v>
      </c>
      <c r="J47" s="29">
        <f t="shared" si="25"/>
        <v>7453746.496386753</v>
      </c>
      <c r="K47" s="29">
        <f t="shared" si="25"/>
        <v>7495814.998617936</v>
      </c>
      <c r="L47" s="29">
        <f t="shared" si="25"/>
        <v>7518983.981411742</v>
      </c>
      <c r="M47" s="29">
        <f>M23+M45</f>
        <v>8089311.4802801665</v>
      </c>
    </row>
    <row r="48" spans="2:11" ht="13.5" thickTop="1">
      <c r="B48" s="2"/>
      <c r="C48" s="30"/>
      <c r="D48" s="30"/>
      <c r="E48" s="30"/>
      <c r="F48" s="31"/>
      <c r="G48" s="31"/>
      <c r="H48" s="31"/>
      <c r="I48" s="31"/>
      <c r="J48" s="31"/>
      <c r="K48" s="31"/>
    </row>
  </sheetData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Gardner</dc:creator>
  <cp:keywords/>
  <dc:description/>
  <cp:lastModifiedBy>wilsone</cp:lastModifiedBy>
  <cp:lastPrinted>2012-08-30T13:44:08Z</cp:lastPrinted>
  <dcterms:created xsi:type="dcterms:W3CDTF">2012-08-30T13:43:13Z</dcterms:created>
  <dcterms:modified xsi:type="dcterms:W3CDTF">2012-08-30T14:02:19Z</dcterms:modified>
  <cp:category/>
  <cp:version/>
  <cp:contentType/>
  <cp:contentStatus/>
</cp:coreProperties>
</file>